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 activeTab="2"/>
  </bookViews>
  <sheets>
    <sheet name="смета" sheetId="4" r:id="rId1"/>
    <sheet name="12.01.22" sheetId="5" r:id="rId2"/>
    <sheet name="12.01.22 (2)" sheetId="6" r:id="rId3"/>
  </sheets>
  <definedNames>
    <definedName name="_xlnm._FilterDatabase" localSheetId="1" hidden="1">'12.01.22'!$B$1:$B$90</definedName>
    <definedName name="_xlnm._FilterDatabase" localSheetId="2" hidden="1">'12.01.22 (2)'!$B$1:$B$89</definedName>
    <definedName name="_xlnm._FilterDatabase" localSheetId="0" hidden="1">смета!$B$1:$B$89</definedName>
  </definedNames>
  <calcPr calcId="162913" refMode="R1C1"/>
</workbook>
</file>

<file path=xl/calcChain.xml><?xml version="1.0" encoding="utf-8"?>
<calcChain xmlns="http://schemas.openxmlformats.org/spreadsheetml/2006/main">
  <c r="M23" i="6" l="1"/>
  <c r="D79" i="6" l="1"/>
  <c r="G79" i="6" s="1"/>
  <c r="G78" i="6"/>
  <c r="G80" i="6" s="1"/>
  <c r="G75" i="6"/>
  <c r="G74" i="6"/>
  <c r="G73" i="6"/>
  <c r="G71" i="6"/>
  <c r="G70" i="6"/>
  <c r="D67" i="6"/>
  <c r="G67" i="6" s="1"/>
  <c r="G66" i="6"/>
  <c r="D65" i="6"/>
  <c r="G65" i="6" s="1"/>
  <c r="D64" i="6"/>
  <c r="G64" i="6" s="1"/>
  <c r="D63" i="6"/>
  <c r="G63" i="6" s="1"/>
  <c r="G60" i="6"/>
  <c r="G59" i="6"/>
  <c r="G58" i="6"/>
  <c r="G57" i="6"/>
  <c r="G56" i="6"/>
  <c r="G55" i="6"/>
  <c r="G54" i="6"/>
  <c r="G53" i="6"/>
  <c r="G52" i="6"/>
  <c r="G51" i="6"/>
  <c r="D48" i="6"/>
  <c r="G48" i="6" s="1"/>
  <c r="G49" i="6" s="1"/>
  <c r="G41" i="6"/>
  <c r="G40" i="6"/>
  <c r="G39" i="6"/>
  <c r="G38" i="6"/>
  <c r="D33" i="6"/>
  <c r="D34" i="6" s="1"/>
  <c r="D32" i="6"/>
  <c r="G32" i="6" s="1"/>
  <c r="D28" i="6"/>
  <c r="G28" i="6" s="1"/>
  <c r="D27" i="6"/>
  <c r="G27" i="6" s="1"/>
  <c r="D26" i="6"/>
  <c r="G26" i="6" s="1"/>
  <c r="G23" i="6"/>
  <c r="D19" i="6"/>
  <c r="D20" i="6" s="1"/>
  <c r="G18" i="6"/>
  <c r="D16" i="6"/>
  <c r="D25" i="6" s="1"/>
  <c r="G25" i="6" s="1"/>
  <c r="D10" i="6"/>
  <c r="G13" i="6" s="1"/>
  <c r="G14" i="6" s="1"/>
  <c r="D43" i="6" l="1"/>
  <c r="G43" i="6" s="1"/>
  <c r="D42" i="6"/>
  <c r="G42" i="6" s="1"/>
  <c r="G34" i="6"/>
  <c r="G33" i="6"/>
  <c r="G61" i="6"/>
  <c r="D72" i="6"/>
  <c r="G72" i="6" s="1"/>
  <c r="G76" i="6" s="1"/>
  <c r="D83" i="6"/>
  <c r="G83" i="6" s="1"/>
  <c r="D29" i="6"/>
  <c r="G29" i="6" s="1"/>
  <c r="G20" i="6"/>
  <c r="G68" i="6"/>
  <c r="G19" i="6"/>
  <c r="D24" i="6"/>
  <c r="G24" i="6" s="1"/>
  <c r="G10" i="6"/>
  <c r="G11" i="6" s="1"/>
  <c r="G16" i="6"/>
  <c r="D17" i="6"/>
  <c r="G17" i="6" s="1"/>
  <c r="D82" i="6"/>
  <c r="G82" i="6" s="1"/>
  <c r="G84" i="6" s="1"/>
  <c r="D35" i="6"/>
  <c r="D45" i="6" s="1"/>
  <c r="G45" i="6" s="1"/>
  <c r="D44" i="6"/>
  <c r="G44" i="6" s="1"/>
  <c r="L23" i="5"/>
  <c r="M24" i="5"/>
  <c r="J24" i="5"/>
  <c r="N24" i="5" s="1"/>
  <c r="G24" i="5"/>
  <c r="D80" i="5"/>
  <c r="D84" i="5" s="1"/>
  <c r="G84" i="5" s="1"/>
  <c r="G79" i="5"/>
  <c r="G76" i="5"/>
  <c r="G75" i="5"/>
  <c r="G74" i="5"/>
  <c r="G72" i="5"/>
  <c r="G71" i="5"/>
  <c r="D68" i="5"/>
  <c r="G68" i="5" s="1"/>
  <c r="G67" i="5"/>
  <c r="G66" i="5"/>
  <c r="D66" i="5"/>
  <c r="D65" i="5"/>
  <c r="G65" i="5" s="1"/>
  <c r="D64" i="5"/>
  <c r="D73" i="5" s="1"/>
  <c r="G73" i="5" s="1"/>
  <c r="G61" i="5"/>
  <c r="G60" i="5"/>
  <c r="G59" i="5"/>
  <c r="G58" i="5"/>
  <c r="G57" i="5"/>
  <c r="G56" i="5"/>
  <c r="G55" i="5"/>
  <c r="G54" i="5"/>
  <c r="G53" i="5"/>
  <c r="G52" i="5"/>
  <c r="G62" i="5" s="1"/>
  <c r="D49" i="5"/>
  <c r="G49" i="5" s="1"/>
  <c r="G50" i="5" s="1"/>
  <c r="G42" i="5"/>
  <c r="G41" i="5"/>
  <c r="G40" i="5"/>
  <c r="G39" i="5"/>
  <c r="E36" i="5"/>
  <c r="E35" i="5"/>
  <c r="D35" i="5"/>
  <c r="D45" i="5" s="1"/>
  <c r="G45" i="5" s="1"/>
  <c r="E34" i="5"/>
  <c r="G34" i="5" s="1"/>
  <c r="D34" i="5"/>
  <c r="D33" i="5"/>
  <c r="G33" i="5" s="1"/>
  <c r="D29" i="5"/>
  <c r="G29" i="5" s="1"/>
  <c r="D28" i="5"/>
  <c r="G28" i="5" s="1"/>
  <c r="G27" i="5"/>
  <c r="D27" i="5"/>
  <c r="D19" i="5"/>
  <c r="G19" i="5" s="1"/>
  <c r="G18" i="5"/>
  <c r="D16" i="5"/>
  <c r="G23" i="5" s="1"/>
  <c r="K22" i="5" s="1"/>
  <c r="L22" i="5" s="1"/>
  <c r="D10" i="5"/>
  <c r="F13" i="5" s="1"/>
  <c r="G13" i="5" s="1"/>
  <c r="G14" i="5" s="1"/>
  <c r="G64" i="5" l="1"/>
  <c r="G69" i="5" s="1"/>
  <c r="D43" i="5"/>
  <c r="G43" i="5" s="1"/>
  <c r="G35" i="5"/>
  <c r="G46" i="6"/>
  <c r="G30" i="6"/>
  <c r="G35" i="6"/>
  <c r="G36" i="6" s="1"/>
  <c r="G21" i="6"/>
  <c r="G77" i="5"/>
  <c r="G10" i="5"/>
  <c r="G11" i="5" s="1"/>
  <c r="D20" i="5"/>
  <c r="D44" i="5"/>
  <c r="G44" i="5" s="1"/>
  <c r="D17" i="5"/>
  <c r="G17" i="5" s="1"/>
  <c r="D26" i="5"/>
  <c r="G26" i="5" s="1"/>
  <c r="D83" i="5"/>
  <c r="G83" i="5" s="1"/>
  <c r="G85" i="5" s="1"/>
  <c r="G80" i="5"/>
  <c r="G81" i="5" s="1"/>
  <c r="G16" i="5"/>
  <c r="D25" i="5"/>
  <c r="G25" i="5" s="1"/>
  <c r="D36" i="5"/>
  <c r="D79" i="4"/>
  <c r="D83" i="4" s="1"/>
  <c r="G83" i="4" s="1"/>
  <c r="D67" i="4"/>
  <c r="G67" i="4" s="1"/>
  <c r="D65" i="4"/>
  <c r="G65" i="4" s="1"/>
  <c r="D64" i="4"/>
  <c r="G64" i="4" s="1"/>
  <c r="D63" i="4"/>
  <c r="G63" i="4" s="1"/>
  <c r="G59" i="4"/>
  <c r="D48" i="4"/>
  <c r="G78" i="4"/>
  <c r="G75" i="4"/>
  <c r="G74" i="4"/>
  <c r="G73" i="4"/>
  <c r="G71" i="4"/>
  <c r="G70" i="4"/>
  <c r="G66" i="4"/>
  <c r="D32" i="4"/>
  <c r="D29" i="4"/>
  <c r="D33" i="4"/>
  <c r="D34" i="4" s="1"/>
  <c r="D35" i="4" s="1"/>
  <c r="D45" i="4" s="1"/>
  <c r="E34" i="4"/>
  <c r="E35" i="4"/>
  <c r="E33" i="4"/>
  <c r="D16" i="4"/>
  <c r="D23" i="4" s="1"/>
  <c r="D10" i="4"/>
  <c r="D28" i="4"/>
  <c r="D27" i="4"/>
  <c r="D26" i="4"/>
  <c r="D19" i="4"/>
  <c r="D20" i="4" s="1"/>
  <c r="G90" i="6" l="1"/>
  <c r="G85" i="6"/>
  <c r="D30" i="5"/>
  <c r="G30" i="5" s="1"/>
  <c r="G31" i="5" s="1"/>
  <c r="G20" i="5"/>
  <c r="G21" i="5" s="1"/>
  <c r="D46" i="5"/>
  <c r="G46" i="5" s="1"/>
  <c r="G47" i="5" s="1"/>
  <c r="G36" i="5"/>
  <c r="G37" i="5" s="1"/>
  <c r="D82" i="4"/>
  <c r="G82" i="4" s="1"/>
  <c r="G84" i="4" s="1"/>
  <c r="G79" i="4"/>
  <c r="G80" i="4" s="1"/>
  <c r="D72" i="4"/>
  <c r="G72" i="4" s="1"/>
  <c r="G76" i="4" s="1"/>
  <c r="G68" i="4"/>
  <c r="D43" i="4"/>
  <c r="G43" i="4" s="1"/>
  <c r="D44" i="4"/>
  <c r="G44" i="4" s="1"/>
  <c r="D42" i="4"/>
  <c r="G42" i="4" s="1"/>
  <c r="G33" i="4"/>
  <c r="G34" i="4"/>
  <c r="D17" i="4"/>
  <c r="G17" i="4" s="1"/>
  <c r="D25" i="4"/>
  <c r="G25" i="4" s="1"/>
  <c r="D24" i="4"/>
  <c r="G24" i="4" s="1"/>
  <c r="F13" i="4"/>
  <c r="G13" i="4" s="1"/>
  <c r="G60" i="4"/>
  <c r="G58" i="4"/>
  <c r="G57" i="4"/>
  <c r="G56" i="4"/>
  <c r="G54" i="4"/>
  <c r="G53" i="4"/>
  <c r="G52" i="4"/>
  <c r="G51" i="4"/>
  <c r="G48" i="4"/>
  <c r="G45" i="4"/>
  <c r="G41" i="4"/>
  <c r="G40" i="4"/>
  <c r="G39" i="4"/>
  <c r="G38" i="4"/>
  <c r="G35" i="4"/>
  <c r="G32" i="4"/>
  <c r="G29" i="4"/>
  <c r="G28" i="4"/>
  <c r="G27" i="4"/>
  <c r="G26" i="4"/>
  <c r="G23" i="4"/>
  <c r="G20" i="4"/>
  <c r="G19" i="4"/>
  <c r="G18" i="4"/>
  <c r="G16" i="4"/>
  <c r="G10" i="4"/>
  <c r="G87" i="6" l="1"/>
  <c r="G86" i="6"/>
  <c r="G91" i="6"/>
  <c r="G91" i="5"/>
  <c r="G86" i="5"/>
  <c r="G36" i="4"/>
  <c r="G21" i="4"/>
  <c r="G46" i="4"/>
  <c r="G14" i="4"/>
  <c r="G30" i="4"/>
  <c r="G49" i="4"/>
  <c r="G11" i="4"/>
  <c r="G55" i="4"/>
  <c r="G61" i="4" s="1"/>
  <c r="G90" i="4" l="1"/>
  <c r="G88" i="6"/>
  <c r="G89" i="6" s="1"/>
  <c r="G88" i="5"/>
  <c r="G87" i="5"/>
  <c r="G92" i="5"/>
  <c r="G85" i="4"/>
  <c r="G91" i="4" l="1"/>
  <c r="G89" i="5"/>
  <c r="G90" i="5" s="1"/>
  <c r="G87" i="4"/>
  <c r="G86" i="4"/>
  <c r="G88" i="4" l="1"/>
  <c r="G89" i="4" s="1"/>
</calcChain>
</file>

<file path=xl/sharedStrings.xml><?xml version="1.0" encoding="utf-8"?>
<sst xmlns="http://schemas.openxmlformats.org/spreadsheetml/2006/main" count="669" uniqueCount="156">
  <si>
    <t>Сметный расчёт №1</t>
  </si>
  <si>
    <t>№ пп</t>
  </si>
  <si>
    <t>Наименование работ (материалов)</t>
  </si>
  <si>
    <t>ед.изм.</t>
  </si>
  <si>
    <t>кол-во</t>
  </si>
  <si>
    <t xml:space="preserve">Цена работ  руб. </t>
  </si>
  <si>
    <t xml:space="preserve">Цена материалов  руб. </t>
  </si>
  <si>
    <t xml:space="preserve">Стоимость всего, руб. </t>
  </si>
  <si>
    <t>Примечания</t>
  </si>
  <si>
    <t>Строительно-монтажные работы.</t>
  </si>
  <si>
    <t>1</t>
  </si>
  <si>
    <t>1.1</t>
  </si>
  <si>
    <t>Монтаж/демонтаж лесов строительных</t>
  </si>
  <si>
    <t>Итого по разделу работы</t>
  </si>
  <si>
    <t>2</t>
  </si>
  <si>
    <t>Материальные ресурсы по разделу</t>
  </si>
  <si>
    <t>2.1</t>
  </si>
  <si>
    <t>маш/смен</t>
  </si>
  <si>
    <t>требует уточнения</t>
  </si>
  <si>
    <t>Итого по разделу материалы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</si>
  <si>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</si>
  <si>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</si>
  <si>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</si>
  <si>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</si>
  <si>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</si>
  <si>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</si>
  <si>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</si>
  <si>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</si>
  <si>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</si>
  <si>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4.3</t>
  </si>
  <si>
    <t>4.4</t>
  </si>
  <si>
    <t>4.5</t>
  </si>
  <si>
    <t>4.6</t>
  </si>
  <si>
    <t>4.7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</si>
  <si>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</si>
  <si>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</si>
  <si>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</si>
  <si>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</si>
  <si>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</si>
  <si>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</si>
  <si>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</si>
  <si>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</si>
  <si>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</si>
  <si>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6.5</t>
  </si>
  <si>
    <t>шт.</t>
  </si>
  <si>
    <t>6.6</t>
  </si>
  <si>
    <t>6.7</t>
  </si>
  <si>
    <t>6.8</t>
  </si>
  <si>
    <t>7</t>
  </si>
  <si>
    <t>7.1</t>
  </si>
  <si>
    <t>8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</si>
  <si>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</si>
  <si>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</si>
  <si>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</si>
  <si>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</si>
  <si>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</si>
  <si>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</si>
  <si>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</si>
  <si>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</si>
  <si>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</si>
  <si>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9</t>
  </si>
  <si>
    <t>9.1</t>
  </si>
  <si>
    <t>9.2</t>
  </si>
  <si>
    <t>9.3</t>
  </si>
  <si>
    <t>9.4</t>
  </si>
  <si>
    <t>9.5</t>
  </si>
  <si>
    <t>10</t>
  </si>
  <si>
    <t>10.1</t>
  </si>
  <si>
    <t>10.2</t>
  </si>
  <si>
    <t>10.3</t>
  </si>
  <si>
    <t>10.4</t>
  </si>
  <si>
    <t>10.5</t>
  </si>
  <si>
    <t>10.6</t>
  </si>
  <si>
    <t>11</t>
  </si>
  <si>
    <t>11.1</t>
  </si>
  <si>
    <t>11.2</t>
  </si>
  <si>
    <t>12</t>
  </si>
  <si>
    <t>12.1</t>
  </si>
  <si>
    <t>12.2</t>
  </si>
  <si>
    <t>Фасад</t>
  </si>
  <si>
    <t>Всего по разделам</t>
  </si>
  <si>
    <t xml:space="preserve">накладные, транспортные расходы </t>
  </si>
  <si>
    <t>ВЗиС (временные здания и сооружения)</t>
  </si>
  <si>
    <t>Всего по смете</t>
  </si>
  <si>
    <t xml:space="preserve">в том числе НДС </t>
  </si>
  <si>
    <t>дата составления 11.01.2022</t>
  </si>
  <si>
    <t xml:space="preserve">Основание чертежи; </t>
  </si>
  <si>
    <t xml:space="preserve">на внешнию отделку жилого дома типа "Таун Хаус", расположенного по адоесу: </t>
  </si>
  <si>
    <t>Подготовительные работы</t>
  </si>
  <si>
    <t>м2</t>
  </si>
  <si>
    <t>Монтаж облицовочных панелей</t>
  </si>
  <si>
    <t>Фасадная термопанель с кварцевой плиткой KlinkerFlex (Россия) 1.0*0.65м Brugge пенополистирол 60мм Европа</t>
  </si>
  <si>
    <t>или аналог</t>
  </si>
  <si>
    <t xml:space="preserve">Затирка цементная для камня White Hills 25 кг. </t>
  </si>
  <si>
    <t>Затирка швов и крепёжных отверстий</t>
  </si>
  <si>
    <t>Окраска откосов, некратных мест</t>
  </si>
  <si>
    <t>Штукатурка по сетке откосов, некратных мест</t>
  </si>
  <si>
    <t>Грунтовка откосов, некратных мест (2 раза)</t>
  </si>
  <si>
    <t>Штукатурка цементная Bergauf Bau Putz Zement 25 кг</t>
  </si>
  <si>
    <t>Сетка армирующая</t>
  </si>
  <si>
    <t>Грунтовка глубокого проникновения 10 кг.</t>
  </si>
  <si>
    <t>Краска фасадная 2.5 кг цвет матовый белый</t>
  </si>
  <si>
    <t>Подшивка карнизов</t>
  </si>
  <si>
    <t>Штукатурка по сетке бетонных потолочных конструкций</t>
  </si>
  <si>
    <t>Грунтовка бетонных потолочных конструкций (2 раза)</t>
  </si>
  <si>
    <t>Окраска бетонных потолочных конструкций</t>
  </si>
  <si>
    <t>L-профиль стальной 19х24х3000 мм</t>
  </si>
  <si>
    <t>Рейка сплошная S-дизайн A100AS 3 м</t>
  </si>
  <si>
    <t>Гребенка Омега 4 м</t>
  </si>
  <si>
    <t>Саморез гипсокартон-дерево, фосфатированный, 3.5х51</t>
  </si>
  <si>
    <t>кг.</t>
  </si>
  <si>
    <t>Подшивка карнизов, отделка потолочных конструкций</t>
  </si>
  <si>
    <t>Водосточная система</t>
  </si>
  <si>
    <t>п.м.</t>
  </si>
  <si>
    <t>Монтаж водосточных труб и желобов</t>
  </si>
  <si>
    <t>Крепление желоба</t>
  </si>
  <si>
    <t>Крепление водосточной трубы</t>
  </si>
  <si>
    <t>Желоб водосточный 3м х 125мм</t>
  </si>
  <si>
    <t>Воронка</t>
  </si>
  <si>
    <r>
      <t>Угол 45</t>
    </r>
    <r>
      <rPr>
        <sz val="11"/>
        <color theme="1"/>
        <rFont val="Calibri"/>
        <family val="2"/>
        <charset val="204"/>
      </rPr>
      <t>° (слив)</t>
    </r>
  </si>
  <si>
    <r>
      <t>Угол 70</t>
    </r>
    <r>
      <rPr>
        <sz val="11"/>
        <color theme="1"/>
        <rFont val="Calibri"/>
        <family val="2"/>
        <charset val="204"/>
      </rPr>
      <t>°</t>
    </r>
  </si>
  <si>
    <t>Труба водосточная 3м х 80 мм</t>
  </si>
  <si>
    <t>Соединитель желобов</t>
  </si>
  <si>
    <t>Заглушка желоба</t>
  </si>
  <si>
    <t>Муфта соединительная</t>
  </si>
  <si>
    <t>Земляные работы (выемка грунта вручную)</t>
  </si>
  <si>
    <t>м3</t>
  </si>
  <si>
    <t>Земляные работы (обратная засыпка грунтом вручную, с уплотнением)</t>
  </si>
  <si>
    <t>Монтаж колодцев ливнёвой канализации</t>
  </si>
  <si>
    <t>Труба дренажная гофрированная перфорированная с геотканью 110 мм х 50 м</t>
  </si>
  <si>
    <t>Колодец дренажный смотровой 368/315х1500 мм с тремя отводами 110 мм с дном и крышкой</t>
  </si>
  <si>
    <t>Прокладка дренажной трубы с отсыпкой гравием/щебнем</t>
  </si>
  <si>
    <t>Гравий/щебень</t>
  </si>
  <si>
    <t>Дренаж (ливнёвая канализация), отмостка бетонная</t>
  </si>
  <si>
    <t>Монтаж лотков водоприёмных</t>
  </si>
  <si>
    <t>Лоток пластиковый Top 100/80 со стальной оцинкованной решеткой</t>
  </si>
  <si>
    <t>Торцевая заглушка для пластиковых лотков Standart 100</t>
  </si>
  <si>
    <t>Тройник ПВХ 113х113мм</t>
  </si>
  <si>
    <t>Благоустройство</t>
  </si>
  <si>
    <t>Планировка участка механизированным способом</t>
  </si>
  <si>
    <t>Внесение чернозёма h=5см., с посадкой газонной травы</t>
  </si>
  <si>
    <t>Грунт растительный</t>
  </si>
  <si>
    <t>Посадочный материал (семена)</t>
  </si>
  <si>
    <t>справочно работы:</t>
  </si>
  <si>
    <t>справочно материалы:</t>
  </si>
  <si>
    <r>
      <t>леса строительные (S= 277 м</t>
    </r>
    <r>
      <rPr>
        <sz val="11"/>
        <color theme="1"/>
        <rFont val="Calibri"/>
        <family val="2"/>
        <charset val="204"/>
      </rPr>
      <t>²</t>
    </r>
    <r>
      <rPr>
        <sz val="11"/>
        <color theme="1"/>
        <rFont val="Times New Roman"/>
        <family val="1"/>
        <charset val="204"/>
      </rPr>
      <t>)</t>
    </r>
  </si>
  <si>
    <t>FUR 6x140 T Универсальный фасадный дюбель fischer с шурупом и потайной головкой, 6x140 мм (50шт.)</t>
  </si>
  <si>
    <t>https://letfix.ru/shop/fasteners/dowel/102000408_fasad_dowel_mungo_mb-st_8x140.html</t>
  </si>
  <si>
    <t>Дюбель фасадный Mungo MB-ST 8х140</t>
  </si>
  <si>
    <t>Угловые элементы</t>
  </si>
  <si>
    <t>S=0,65 м2</t>
  </si>
  <si>
    <t>975руб. 1шт.</t>
  </si>
  <si>
    <t>h=0,65</t>
  </si>
  <si>
    <t>замена</t>
  </si>
  <si>
    <t>это разница по общей стоимости панелей</t>
  </si>
  <si>
    <t>на внешнию отделку жилого дома типа "Таун Хаус", расположенного по адоесу: Московская область, г.о. Истра, д. Покровское, тер. ЖК Новорижский, б-р
Покровский, д. 118/1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</si>
</sst>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</cellStyleXfs>
  <cellXfs count="102">
    <xf numFmtId="0" fontId="0" fillId="0" borderId="0" xfId="0"/>
    <xf numFmtId="49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4" fontId="3" fillId="0" borderId="0" xfId="1" applyNumberFormat="1" applyFont="1" applyAlignment="1">
      <alignment horizontal="right"/>
    </xf>
    <xf numFmtId="0" fontId="2" fillId="0" borderId="0" xfId="1" applyFont="1"/>
    <xf numFmtId="4" fontId="5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vertical="top"/>
    </xf>
    <xf numFmtId="49" fontId="6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4" fontId="6" fillId="0" borderId="2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4" fontId="5" fillId="0" borderId="0" xfId="2" applyNumberFormat="1" applyFont="1" applyFill="1" applyAlignment="1">
      <alignment horizontal="center" vertical="center"/>
    </xf>
    <xf numFmtId="0" fontId="5" fillId="0" borderId="0" xfId="2" applyFont="1" applyFill="1" applyAlignment="1">
      <alignment vertical="center"/>
    </xf>
    <xf numFmtId="49" fontId="5" fillId="0" borderId="5" xfId="2" applyNumberFormat="1" applyFont="1" applyFill="1" applyBorder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0" fontId="5" fillId="0" borderId="2" xfId="2" applyFont="1" applyBorder="1" applyAlignment="1">
      <alignment horizontal="center" vertical="center" wrapText="1"/>
    </xf>
    <xf numFmtId="4" fontId="5" fillId="0" borderId="6" xfId="2" applyNumberFormat="1" applyFont="1" applyFill="1" applyBorder="1" applyAlignment="1">
      <alignment horizontal="center" vertical="center" wrapText="1"/>
    </xf>
    <xf numFmtId="4" fontId="5" fillId="0" borderId="2" xfId="2" applyNumberFormat="1" applyFont="1" applyFill="1" applyBorder="1" applyAlignment="1">
      <alignment horizontal="center" vertical="center" wrapText="1"/>
    </xf>
    <xf numFmtId="4" fontId="6" fillId="0" borderId="4" xfId="2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vertical="center" wrapText="1"/>
    </xf>
    <xf numFmtId="3" fontId="5" fillId="0" borderId="6" xfId="2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vertical="top"/>
    </xf>
    <xf numFmtId="4" fontId="6" fillId="0" borderId="0" xfId="2" applyNumberFormat="1" applyFont="1" applyFill="1" applyAlignment="1">
      <alignment horizontal="center" vertical="center"/>
    </xf>
    <xf numFmtId="0" fontId="6" fillId="0" borderId="0" xfId="2" applyFont="1" applyFill="1" applyAlignment="1">
      <alignment vertical="top"/>
    </xf>
    <xf numFmtId="0" fontId="9" fillId="0" borderId="0" xfId="2" applyFont="1" applyFill="1" applyAlignment="1">
      <alignment vertical="top"/>
    </xf>
    <xf numFmtId="49" fontId="5" fillId="0" borderId="0" xfId="1" applyNumberFormat="1" applyFont="1" applyFill="1" applyAlignment="1">
      <alignment vertical="top" wrapText="1"/>
    </xf>
    <xf numFmtId="0" fontId="5" fillId="0" borderId="0" xfId="1" applyFont="1" applyFill="1" applyAlignment="1">
      <alignment vertical="top" wrapText="1"/>
    </xf>
    <xf numFmtId="0" fontId="5" fillId="0" borderId="0" xfId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center" vertical="top"/>
    </xf>
    <xf numFmtId="4" fontId="5" fillId="0" borderId="0" xfId="1" applyNumberFormat="1" applyFont="1" applyFill="1" applyAlignment="1">
      <alignment vertical="top"/>
    </xf>
    <xf numFmtId="49" fontId="6" fillId="2" borderId="2" xfId="2" applyNumberFormat="1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left" vertical="center" wrapText="1"/>
    </xf>
    <xf numFmtId="0" fontId="6" fillId="2" borderId="3" xfId="2" applyFont="1" applyFill="1" applyBorder="1" applyAlignment="1">
      <alignment horizontal="center" vertical="center" wrapText="1"/>
    </xf>
    <xf numFmtId="4" fontId="6" fillId="2" borderId="2" xfId="2" applyNumberFormat="1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49" fontId="6" fillId="3" borderId="2" xfId="2" applyNumberFormat="1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left" vertical="center" wrapText="1"/>
    </xf>
    <xf numFmtId="0" fontId="6" fillId="3" borderId="3" xfId="2" applyFont="1" applyFill="1" applyBorder="1" applyAlignment="1">
      <alignment horizontal="center" vertical="center" wrapText="1"/>
    </xf>
    <xf numFmtId="4" fontId="6" fillId="3" borderId="2" xfId="2" applyNumberFormat="1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49" fontId="6" fillId="4" borderId="2" xfId="2" applyNumberFormat="1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left" vertical="center" wrapText="1"/>
    </xf>
    <xf numFmtId="0" fontId="6" fillId="4" borderId="3" xfId="2" applyFont="1" applyFill="1" applyBorder="1" applyAlignment="1">
      <alignment horizontal="center" vertical="center" wrapText="1"/>
    </xf>
    <xf numFmtId="4" fontId="6" fillId="4" borderId="2" xfId="2" applyNumberFormat="1" applyFont="1" applyFill="1" applyBorder="1" applyAlignment="1">
      <alignment horizontal="center" vertical="center" wrapText="1"/>
    </xf>
    <xf numFmtId="4" fontId="6" fillId="4" borderId="4" xfId="2" applyNumberFormat="1" applyFont="1" applyFill="1" applyBorder="1" applyAlignment="1">
      <alignment horizontal="center" vertical="center" wrapText="1"/>
    </xf>
    <xf numFmtId="0" fontId="6" fillId="4" borderId="2" xfId="2" applyFont="1" applyFill="1" applyBorder="1" applyAlignment="1">
      <alignment horizontal="center" vertical="center" wrapText="1"/>
    </xf>
    <xf numFmtId="49" fontId="6" fillId="2" borderId="2" xfId="2" applyNumberFormat="1" applyFont="1" applyFill="1" applyBorder="1" applyAlignment="1">
      <alignment vertical="top" wrapText="1"/>
    </xf>
    <xf numFmtId="0" fontId="6" fillId="2" borderId="2" xfId="2" applyFont="1" applyFill="1" applyBorder="1" applyAlignment="1">
      <alignment vertical="top" wrapText="1"/>
    </xf>
    <xf numFmtId="4" fontId="6" fillId="2" borderId="2" xfId="2" applyNumberFormat="1" applyFont="1" applyFill="1" applyBorder="1" applyAlignment="1">
      <alignment horizontal="center" vertical="top" wrapText="1"/>
    </xf>
    <xf numFmtId="2" fontId="6" fillId="2" borderId="2" xfId="2" applyNumberFormat="1" applyFont="1" applyFill="1" applyBorder="1" applyAlignment="1">
      <alignment horizontal="right" vertical="top" wrapText="1"/>
    </xf>
    <xf numFmtId="4" fontId="6" fillId="2" borderId="2" xfId="2" applyNumberFormat="1" applyFont="1" applyFill="1" applyBorder="1" applyAlignment="1">
      <alignment horizontal="right" vertical="top" wrapText="1"/>
    </xf>
    <xf numFmtId="0" fontId="5" fillId="2" borderId="2" xfId="2" applyFont="1" applyFill="1" applyBorder="1" applyAlignment="1">
      <alignment vertical="top" wrapText="1"/>
    </xf>
    <xf numFmtId="10" fontId="5" fillId="2" borderId="2" xfId="2" applyNumberFormat="1" applyFont="1" applyFill="1" applyBorder="1" applyAlignment="1">
      <alignment horizontal="center" vertical="center" wrapText="1"/>
    </xf>
    <xf numFmtId="4" fontId="5" fillId="2" borderId="2" xfId="2" applyNumberFormat="1" applyFont="1" applyFill="1" applyBorder="1" applyAlignment="1">
      <alignment horizontal="center" vertical="top" wrapText="1"/>
    </xf>
    <xf numFmtId="2" fontId="5" fillId="2" borderId="2" xfId="2" applyNumberFormat="1" applyFont="1" applyFill="1" applyBorder="1" applyAlignment="1">
      <alignment horizontal="right" vertical="top" wrapText="1"/>
    </xf>
    <xf numFmtId="4" fontId="9" fillId="2" borderId="2" xfId="2" applyNumberFormat="1" applyFont="1" applyFill="1" applyBorder="1" applyAlignment="1">
      <alignment horizontal="right" vertical="top" wrapText="1"/>
    </xf>
    <xf numFmtId="4" fontId="10" fillId="2" borderId="2" xfId="2" applyNumberFormat="1" applyFont="1" applyFill="1" applyBorder="1" applyAlignment="1">
      <alignment horizontal="center" vertical="center" wrapText="1"/>
    </xf>
    <xf numFmtId="49" fontId="10" fillId="2" borderId="2" xfId="2" applyNumberFormat="1" applyFont="1" applyFill="1" applyBorder="1" applyAlignment="1">
      <alignment vertical="top" wrapText="1"/>
    </xf>
    <xf numFmtId="0" fontId="10" fillId="2" borderId="2" xfId="2" applyFont="1" applyFill="1" applyBorder="1" applyAlignment="1">
      <alignment vertical="top" wrapText="1"/>
    </xf>
    <xf numFmtId="10" fontId="9" fillId="2" borderId="2" xfId="2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>
      <alignment horizontal="center" vertical="top" wrapText="1"/>
    </xf>
    <xf numFmtId="2" fontId="9" fillId="2" borderId="2" xfId="2" applyNumberFormat="1" applyFont="1" applyFill="1" applyBorder="1" applyAlignment="1">
      <alignment horizontal="right" vertical="top" wrapText="1"/>
    </xf>
    <xf numFmtId="0" fontId="9" fillId="2" borderId="2" xfId="2" applyFont="1" applyFill="1" applyBorder="1" applyAlignment="1">
      <alignment vertical="top" wrapText="1"/>
    </xf>
    <xf numFmtId="49" fontId="6" fillId="3" borderId="2" xfId="2" applyNumberFormat="1" applyFont="1" applyFill="1" applyBorder="1" applyAlignment="1">
      <alignment vertical="top" wrapText="1"/>
    </xf>
    <xf numFmtId="0" fontId="6" fillId="3" borderId="2" xfId="2" applyFont="1" applyFill="1" applyBorder="1" applyAlignment="1">
      <alignment vertical="top" wrapText="1"/>
    </xf>
    <xf numFmtId="0" fontId="6" fillId="3" borderId="2" xfId="2" applyFont="1" applyFill="1" applyBorder="1" applyAlignment="1">
      <alignment horizontal="center" vertical="center"/>
    </xf>
    <xf numFmtId="4" fontId="6" fillId="3" borderId="2" xfId="2" applyNumberFormat="1" applyFont="1" applyFill="1" applyBorder="1" applyAlignment="1">
      <alignment horizontal="center" vertical="top"/>
    </xf>
    <xf numFmtId="0" fontId="6" fillId="3" borderId="2" xfId="2" applyFont="1" applyFill="1" applyBorder="1" applyAlignment="1">
      <alignment vertical="top"/>
    </xf>
    <xf numFmtId="4" fontId="2" fillId="0" borderId="0" xfId="1" applyNumberFormat="1" applyFont="1"/>
    <xf numFmtId="4" fontId="5" fillId="0" borderId="0" xfId="1" applyNumberFormat="1" applyFont="1" applyFill="1" applyAlignment="1">
      <alignment vertical="center"/>
    </xf>
    <xf numFmtId="4" fontId="5" fillId="0" borderId="0" xfId="2" applyNumberFormat="1" applyFont="1" applyFill="1" applyAlignment="1">
      <alignment vertical="center"/>
    </xf>
    <xf numFmtId="4" fontId="5" fillId="0" borderId="0" xfId="2" applyNumberFormat="1" applyFont="1" applyFill="1" applyAlignment="1">
      <alignment vertical="top"/>
    </xf>
    <xf numFmtId="4" fontId="6" fillId="0" borderId="0" xfId="2" applyNumberFormat="1" applyFont="1" applyFill="1" applyAlignment="1">
      <alignment vertical="top"/>
    </xf>
    <xf numFmtId="4" fontId="9" fillId="0" borderId="0" xfId="2" applyNumberFormat="1" applyFont="1" applyFill="1" applyAlignment="1">
      <alignment vertical="top"/>
    </xf>
    <xf numFmtId="49" fontId="10" fillId="0" borderId="0" xfId="1" applyNumberFormat="1" applyFont="1" applyFill="1" applyAlignment="1">
      <alignment vertical="top" wrapText="1"/>
    </xf>
    <xf numFmtId="0" fontId="10" fillId="0" borderId="0" xfId="1" applyFont="1" applyFill="1" applyAlignment="1">
      <alignment vertical="top" wrapText="1"/>
    </xf>
    <xf numFmtId="0" fontId="10" fillId="0" borderId="0" xfId="1" applyFont="1" applyFill="1" applyAlignment="1">
      <alignment horizontal="center" vertical="center"/>
    </xf>
    <xf numFmtId="4" fontId="10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4" fontId="10" fillId="0" borderId="0" xfId="1" applyNumberFormat="1" applyFont="1" applyFill="1" applyAlignment="1">
      <alignment vertical="top"/>
    </xf>
    <xf numFmtId="4" fontId="10" fillId="0" borderId="0" xfId="1" applyNumberFormat="1" applyFont="1" applyFill="1" applyAlignment="1">
      <alignment horizontal="center" vertical="center"/>
    </xf>
    <xf numFmtId="164" fontId="5" fillId="0" borderId="6" xfId="2" applyNumberFormat="1" applyFont="1" applyFill="1" applyBorder="1" applyAlignment="1">
      <alignment horizontal="center" vertical="center" wrapText="1"/>
    </xf>
    <xf numFmtId="4" fontId="2" fillId="0" borderId="0" xfId="1" applyNumberFormat="1" applyFont="1" applyAlignment="1">
      <alignment horizontal="left" vertical="center"/>
    </xf>
    <xf numFmtId="4" fontId="5" fillId="0" borderId="0" xfId="1" applyNumberFormat="1" applyFont="1" applyFill="1" applyAlignment="1">
      <alignment horizontal="left" vertical="center"/>
    </xf>
    <xf numFmtId="4" fontId="5" fillId="0" borderId="0" xfId="2" applyNumberFormat="1" applyFont="1" applyFill="1" applyAlignment="1">
      <alignment horizontal="left" vertical="center"/>
    </xf>
    <xf numFmtId="4" fontId="11" fillId="0" borderId="0" xfId="9" applyNumberFormat="1" applyFill="1" applyAlignment="1">
      <alignment horizontal="left" vertical="center"/>
    </xf>
    <xf numFmtId="4" fontId="5" fillId="0" borderId="0" xfId="2" applyNumberFormat="1" applyFont="1" applyFill="1" applyAlignment="1">
      <alignment horizontal="left" vertical="top"/>
    </xf>
    <xf numFmtId="4" fontId="6" fillId="0" borderId="0" xfId="2" applyNumberFormat="1" applyFont="1" applyFill="1" applyAlignment="1">
      <alignment horizontal="left" vertical="center"/>
    </xf>
    <xf numFmtId="4" fontId="9" fillId="0" borderId="0" xfId="2" applyNumberFormat="1" applyFont="1" applyFill="1" applyAlignment="1">
      <alignment horizontal="left" vertical="top"/>
    </xf>
    <xf numFmtId="4" fontId="10" fillId="0" borderId="0" xfId="1" applyNumberFormat="1" applyFont="1" applyFill="1" applyAlignment="1">
      <alignment horizontal="left" vertical="center"/>
    </xf>
    <xf numFmtId="4" fontId="5" fillId="5" borderId="2" xfId="2" applyNumberFormat="1" applyFont="1" applyFill="1" applyBorder="1" applyAlignment="1">
      <alignment horizontal="center" vertical="center" wrapText="1"/>
    </xf>
    <xf numFmtId="0" fontId="5" fillId="5" borderId="2" xfId="2" applyFont="1" applyFill="1" applyBorder="1" applyAlignment="1">
      <alignment vertical="center" wrapText="1"/>
    </xf>
    <xf numFmtId="4" fontId="6" fillId="5" borderId="0" xfId="2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top"/>
    </xf>
    <xf numFmtId="0" fontId="6" fillId="0" borderId="0" xfId="1" applyFont="1" applyFill="1" applyAlignment="1">
      <alignment horizontal="center" vertical="top" wrapText="1"/>
    </xf>
    <xf numFmtId="0" fontId="6" fillId="0" borderId="0" xfId="1" applyFont="1" applyFill="1" applyAlignment="1">
      <alignment horizontal="center" vertical="top"/>
    </xf>
    <xf numFmtId="49" fontId="5" fillId="0" borderId="1" xfId="1" applyNumberFormat="1" applyFont="1" applyFill="1" applyBorder="1" applyAlignment="1">
      <alignment horizontal="left" vertical="center" wrapText="1"/>
    </xf>
  </cellXfs>
  <cellStyles count="10">
    <cellStyle name="Гиперссылка" xfId="9" builtinId="8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3" xfId="6"/>
    <cellStyle name="Обычный 3 4" xfId="7"/>
    <cellStyle name="Обычный 3 4 2" xfId="8"/>
    <cellStyle name="Обычный 3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letfix.ru/shop/fasteners/dowel/102000408_fasad_dowel_mungo_mb-st_8x140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letfix.ru/shop/fasteners/dowel/102000408_fasad_dowel_mungo_mb-st_8x14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1"/>
  <sheetViews>
    <sheetView topLeftCell="A13" workbookViewId="0">
      <selection activeCell="D23" sqref="D23"/>
    </sheetView>
  </sheetViews>
  <sheetFormatPr defaultColWidth="8.6640625" defaultRowHeight="13.8"/>
  <cols>
    <col min="1" max="1" width="8.109375" style="28" customWidth="1"/>
    <col min="2" max="2" width="60.6640625" style="29" customWidth="1"/>
    <col min="3" max="3" width="10.44140625" style="30" customWidth="1"/>
    <col min="4" max="4" width="11.44140625" style="31" customWidth="1"/>
    <col min="5" max="5" width="13.109375" style="8" customWidth="1"/>
    <col min="6" max="6" width="14.33203125" style="8" customWidth="1"/>
    <col min="7" max="7" width="15.109375" style="32" customWidth="1"/>
    <col min="8" max="8" width="20.6640625" style="29" customWidth="1"/>
    <col min="9" max="13" width="15.109375" style="7" customWidth="1"/>
    <col min="14" max="15" width="15.109375" style="32" customWidth="1"/>
    <col min="16" max="16384" width="8.6640625" style="8"/>
  </cols>
  <sheetData>
    <row r="1" spans="1:15" s="6" customFormat="1" ht="16.5" customHeight="1">
      <c r="A1" s="1"/>
      <c r="B1" s="2"/>
      <c r="C1" s="3"/>
      <c r="D1" s="4"/>
      <c r="E1" s="4"/>
      <c r="F1" s="4"/>
      <c r="G1" s="5"/>
      <c r="H1" s="5" t="s">
        <v>85</v>
      </c>
      <c r="I1" s="4"/>
      <c r="J1" s="4"/>
      <c r="K1" s="4"/>
      <c r="L1" s="4"/>
      <c r="M1" s="4"/>
      <c r="N1" s="73"/>
      <c r="O1" s="73"/>
    </row>
    <row r="3" spans="1:15" ht="17.399999999999999">
      <c r="A3" s="98" t="s">
        <v>0</v>
      </c>
      <c r="B3" s="98"/>
      <c r="C3" s="98"/>
      <c r="D3" s="98"/>
      <c r="E3" s="98"/>
      <c r="F3" s="98"/>
      <c r="G3" s="98"/>
      <c r="H3" s="98"/>
    </row>
    <row r="4" spans="1:15">
      <c r="A4" s="99" t="s">
        <v>87</v>
      </c>
      <c r="B4" s="100"/>
      <c r="C4" s="100"/>
      <c r="D4" s="100"/>
      <c r="E4" s="100"/>
      <c r="F4" s="100"/>
      <c r="G4" s="100"/>
      <c r="H4" s="100"/>
    </row>
    <row r="5" spans="1:15">
      <c r="A5" s="99"/>
      <c r="B5" s="99"/>
      <c r="C5" s="99"/>
      <c r="D5" s="99"/>
      <c r="E5" s="99"/>
      <c r="F5" s="99"/>
      <c r="G5" s="99"/>
      <c r="H5" s="99"/>
    </row>
    <row r="6" spans="1:15" ht="21" customHeight="1">
      <c r="A6" s="101" t="s">
        <v>86</v>
      </c>
      <c r="B6" s="101"/>
      <c r="C6" s="101"/>
      <c r="D6" s="101"/>
      <c r="E6" s="101"/>
      <c r="F6" s="101"/>
      <c r="G6" s="101"/>
      <c r="H6" s="101"/>
    </row>
    <row r="7" spans="1:15" s="13" customFormat="1" ht="48.75" customHeight="1">
      <c r="A7" s="9" t="s">
        <v>1</v>
      </c>
      <c r="B7" s="10" t="s">
        <v>2</v>
      </c>
      <c r="C7" s="10" t="s">
        <v>3</v>
      </c>
      <c r="D7" s="11" t="s">
        <v>4</v>
      </c>
      <c r="E7" s="12" t="s">
        <v>5</v>
      </c>
      <c r="F7" s="12" t="s">
        <v>6</v>
      </c>
      <c r="G7" s="11" t="s">
        <v>7</v>
      </c>
      <c r="H7" s="10" t="s">
        <v>8</v>
      </c>
      <c r="I7" s="7"/>
      <c r="J7" s="7"/>
      <c r="K7" s="7"/>
      <c r="L7" s="7"/>
      <c r="M7" s="7"/>
      <c r="N7" s="74"/>
      <c r="O7" s="74"/>
    </row>
    <row r="8" spans="1:15" s="15" customFormat="1" ht="18" customHeight="1">
      <c r="A8" s="39"/>
      <c r="B8" s="40" t="s">
        <v>9</v>
      </c>
      <c r="C8" s="41"/>
      <c r="D8" s="42"/>
      <c r="E8" s="41"/>
      <c r="F8" s="41"/>
      <c r="G8" s="43"/>
      <c r="H8" s="44"/>
      <c r="I8" s="14"/>
      <c r="J8" s="14"/>
      <c r="K8" s="14"/>
      <c r="L8" s="14"/>
      <c r="M8" s="14"/>
      <c r="N8" s="75"/>
      <c r="O8" s="75"/>
    </row>
    <row r="9" spans="1:15" s="15" customFormat="1" ht="16.5" customHeight="1">
      <c r="A9" s="33" t="s">
        <v>10</v>
      </c>
      <c r="B9" s="34" t="s">
        <v>88</v>
      </c>
      <c r="C9" s="35"/>
      <c r="D9" s="36"/>
      <c r="E9" s="35"/>
      <c r="F9" s="35"/>
      <c r="G9" s="37"/>
      <c r="H9" s="38"/>
      <c r="I9" s="14"/>
      <c r="J9" s="14"/>
      <c r="K9" s="14"/>
      <c r="L9" s="14"/>
      <c r="M9" s="14"/>
      <c r="N9" s="75"/>
      <c r="O9" s="75"/>
    </row>
    <row r="10" spans="1:15" s="15" customFormat="1">
      <c r="A10" s="16" t="s">
        <v>11</v>
      </c>
      <c r="B10" s="17" t="s">
        <v>12</v>
      </c>
      <c r="C10" s="18" t="s">
        <v>89</v>
      </c>
      <c r="D10" s="19">
        <f>10*14+8*8+6*8+2*4+2*4+1.5*6</f>
        <v>277</v>
      </c>
      <c r="E10" s="20">
        <v>200</v>
      </c>
      <c r="F10" s="20"/>
      <c r="G10" s="21">
        <f>(F10+E10)*D10</f>
        <v>55400</v>
      </c>
      <c r="H10" s="22"/>
      <c r="I10" s="14"/>
      <c r="J10" s="14"/>
      <c r="K10" s="14"/>
      <c r="L10" s="14"/>
      <c r="M10" s="14"/>
      <c r="N10" s="75"/>
      <c r="O10" s="75"/>
    </row>
    <row r="11" spans="1:15" s="15" customFormat="1" ht="16.5" customHeight="1">
      <c r="A11" s="45"/>
      <c r="B11" s="46" t="s">
        <v>13</v>
      </c>
      <c r="C11" s="47"/>
      <c r="D11" s="48"/>
      <c r="E11" s="47"/>
      <c r="F11" s="47"/>
      <c r="G11" s="49">
        <f>SUM(G10:G10)</f>
        <v>55400</v>
      </c>
      <c r="H11" s="50"/>
      <c r="I11" s="14"/>
      <c r="J11" s="14"/>
      <c r="K11" s="14"/>
      <c r="L11" s="14"/>
      <c r="M11" s="14"/>
      <c r="N11" s="75"/>
      <c r="O11" s="75"/>
    </row>
    <row r="12" spans="1:15" s="15" customFormat="1" ht="16.5" customHeight="1">
      <c r="A12" s="33" t="s">
        <v>14</v>
      </c>
      <c r="B12" s="34" t="s">
        <v>15</v>
      </c>
      <c r="C12" s="35"/>
      <c r="D12" s="36"/>
      <c r="E12" s="35"/>
      <c r="F12" s="35"/>
      <c r="G12" s="37"/>
      <c r="H12" s="38"/>
      <c r="I12" s="14"/>
      <c r="J12" s="14"/>
      <c r="K12" s="14"/>
      <c r="L12" s="14"/>
      <c r="M12" s="14"/>
      <c r="N12" s="75"/>
      <c r="O12" s="75"/>
    </row>
    <row r="13" spans="1:15" s="15" customFormat="1" ht="16.5" customHeight="1">
      <c r="A13" s="16" t="s">
        <v>16</v>
      </c>
      <c r="B13" s="17" t="s">
        <v>145</v>
      </c>
      <c r="C13" s="18" t="s">
        <v>17</v>
      </c>
      <c r="D13" s="19">
        <v>20</v>
      </c>
      <c r="E13" s="20"/>
      <c r="F13" s="20">
        <f>D10*80/30</f>
        <v>738.66666666666663</v>
      </c>
      <c r="G13" s="21">
        <f>(F13+E13)*D13</f>
        <v>14773.333333333332</v>
      </c>
      <c r="H13" s="22" t="s">
        <v>18</v>
      </c>
      <c r="I13" s="14"/>
      <c r="J13" s="14"/>
      <c r="K13" s="14"/>
      <c r="L13" s="14"/>
      <c r="M13" s="14"/>
      <c r="N13" s="75"/>
      <c r="O13" s="75"/>
    </row>
    <row r="14" spans="1:15" s="15" customFormat="1" ht="16.5" customHeight="1">
      <c r="A14" s="45"/>
      <c r="B14" s="46" t="s">
        <v>19</v>
      </c>
      <c r="C14" s="47"/>
      <c r="D14" s="48"/>
      <c r="E14" s="47"/>
      <c r="F14" s="47"/>
      <c r="G14" s="49">
        <f>SUM(G13:G13)</f>
        <v>14773.333333333332</v>
      </c>
      <c r="H14" s="50"/>
      <c r="I14" s="14"/>
      <c r="J14" s="14"/>
      <c r="K14" s="14"/>
      <c r="L14" s="14"/>
      <c r="M14" s="14"/>
      <c r="N14" s="75"/>
      <c r="O14" s="75"/>
    </row>
    <row r="15" spans="1:15" s="15" customFormat="1" ht="16.5" customHeight="1">
      <c r="A15" s="33" t="s">
        <v>20</v>
      </c>
      <c r="B15" s="34" t="s">
        <v>79</v>
      </c>
      <c r="C15" s="35"/>
      <c r="D15" s="36"/>
      <c r="E15" s="35"/>
      <c r="F15" s="35"/>
      <c r="G15" s="37"/>
      <c r="H15" s="38"/>
      <c r="I15" s="14"/>
      <c r="J15" s="14"/>
      <c r="K15" s="14"/>
      <c r="L15" s="14"/>
      <c r="M15" s="14"/>
      <c r="N15" s="75"/>
      <c r="O15" s="75"/>
    </row>
    <row r="16" spans="1:15" s="15" customFormat="1" ht="17.25" customHeight="1">
      <c r="A16" s="16" t="s">
        <v>21</v>
      </c>
      <c r="B16" s="17" t="s">
        <v>90</v>
      </c>
      <c r="C16" s="18" t="s">
        <v>89</v>
      </c>
      <c r="D16" s="19">
        <f>14.22*7.45+14.22*3.3/2+2.05*0.4*4+7.25*7.534+5.84*7.43+1.79*3.82+3*4.2+1.5*7.45-(2.16*1.1+2.02*1.65*3+2.28*1.75*2+2.03*1.8*2+2.25*1.03+2.25*0.7)</f>
        <v>229.75200000000001</v>
      </c>
      <c r="E16" s="20">
        <v>1200</v>
      </c>
      <c r="F16" s="20"/>
      <c r="G16" s="21">
        <f t="shared" ref="G16:G20" si="0">(F16+E16)*D16</f>
        <v>275702.40000000002</v>
      </c>
      <c r="H16" s="22"/>
      <c r="I16" s="14"/>
      <c r="J16" s="14"/>
      <c r="K16" s="14"/>
      <c r="L16" s="14"/>
      <c r="M16" s="14"/>
      <c r="N16" s="75"/>
      <c r="O16" s="75"/>
    </row>
    <row r="17" spans="1:15" s="15" customFormat="1">
      <c r="A17" s="16" t="s">
        <v>22</v>
      </c>
      <c r="B17" s="17" t="s">
        <v>94</v>
      </c>
      <c r="C17" s="18" t="s">
        <v>89</v>
      </c>
      <c r="D17" s="19">
        <f>D16</f>
        <v>229.75200000000001</v>
      </c>
      <c r="E17" s="20">
        <v>200</v>
      </c>
      <c r="F17" s="20"/>
      <c r="G17" s="21">
        <f t="shared" si="0"/>
        <v>45950.400000000001</v>
      </c>
      <c r="H17" s="22"/>
      <c r="I17" s="14"/>
      <c r="J17" s="14"/>
      <c r="K17" s="14"/>
      <c r="L17" s="14"/>
      <c r="M17" s="14"/>
      <c r="N17" s="75"/>
      <c r="O17" s="75"/>
    </row>
    <row r="18" spans="1:15" s="15" customFormat="1">
      <c r="A18" s="16" t="s">
        <v>23</v>
      </c>
      <c r="B18" s="17" t="s">
        <v>96</v>
      </c>
      <c r="C18" s="18" t="s">
        <v>89</v>
      </c>
      <c r="D18" s="19">
        <v>9</v>
      </c>
      <c r="E18" s="20">
        <v>500</v>
      </c>
      <c r="F18" s="20"/>
      <c r="G18" s="21">
        <f t="shared" si="0"/>
        <v>4500</v>
      </c>
      <c r="H18" s="22" t="s">
        <v>18</v>
      </c>
      <c r="I18" s="14"/>
      <c r="J18" s="14"/>
      <c r="K18" s="14"/>
      <c r="L18" s="14"/>
      <c r="M18" s="14"/>
      <c r="N18" s="75"/>
      <c r="O18" s="75"/>
    </row>
    <row r="19" spans="1:15" s="15" customFormat="1">
      <c r="A19" s="16" t="s">
        <v>24</v>
      </c>
      <c r="B19" s="17" t="s">
        <v>97</v>
      </c>
      <c r="C19" s="18" t="s">
        <v>89</v>
      </c>
      <c r="D19" s="19">
        <f>D18</f>
        <v>9</v>
      </c>
      <c r="E19" s="20">
        <v>120</v>
      </c>
      <c r="F19" s="20"/>
      <c r="G19" s="21">
        <f t="shared" si="0"/>
        <v>1080</v>
      </c>
      <c r="H19" s="22"/>
      <c r="I19" s="14"/>
      <c r="J19" s="14"/>
      <c r="K19" s="14"/>
      <c r="L19" s="14"/>
      <c r="M19" s="14"/>
      <c r="N19" s="75"/>
      <c r="O19" s="75"/>
    </row>
    <row r="20" spans="1:15" s="15" customFormat="1" ht="15" customHeight="1">
      <c r="A20" s="16" t="s">
        <v>25</v>
      </c>
      <c r="B20" s="17" t="s">
        <v>95</v>
      </c>
      <c r="C20" s="18" t="s">
        <v>89</v>
      </c>
      <c r="D20" s="19">
        <f>D19</f>
        <v>9</v>
      </c>
      <c r="E20" s="20">
        <v>300</v>
      </c>
      <c r="F20" s="20"/>
      <c r="G20" s="21">
        <f t="shared" si="0"/>
        <v>2700</v>
      </c>
      <c r="H20" s="22"/>
      <c r="I20" s="14"/>
      <c r="J20" s="14"/>
      <c r="K20" s="14"/>
      <c r="L20" s="14"/>
      <c r="M20" s="14"/>
      <c r="N20" s="75"/>
      <c r="O20" s="75"/>
    </row>
    <row r="21" spans="1:15" s="15" customFormat="1" ht="16.5" customHeight="1">
      <c r="A21" s="45"/>
      <c r="B21" s="46" t="s">
        <v>13</v>
      </c>
      <c r="C21" s="47"/>
      <c r="D21" s="48"/>
      <c r="E21" s="47"/>
      <c r="F21" s="47"/>
      <c r="G21" s="49">
        <f>SUM(G16:G20)</f>
        <v>329932.80000000005</v>
      </c>
      <c r="H21" s="50"/>
      <c r="I21" s="14"/>
      <c r="J21" s="14"/>
      <c r="K21" s="14"/>
      <c r="L21" s="14"/>
      <c r="M21" s="14"/>
      <c r="N21" s="75"/>
      <c r="O21" s="75"/>
    </row>
    <row r="22" spans="1:15" s="15" customFormat="1" ht="16.5" customHeight="1">
      <c r="A22" s="33" t="s">
        <v>26</v>
      </c>
      <c r="B22" s="34" t="s">
        <v>15</v>
      </c>
      <c r="C22" s="35"/>
      <c r="D22" s="36"/>
      <c r="E22" s="35"/>
      <c r="F22" s="35"/>
      <c r="G22" s="37"/>
      <c r="H22" s="38"/>
      <c r="I22" s="14"/>
      <c r="J22" s="14"/>
      <c r="K22" s="14"/>
      <c r="L22" s="14"/>
      <c r="M22" s="14"/>
      <c r="N22" s="75"/>
      <c r="O22" s="75"/>
    </row>
    <row r="23" spans="1:15" s="15" customFormat="1" ht="27.6">
      <c r="A23" s="16" t="s">
        <v>27</v>
      </c>
      <c r="B23" s="17" t="s">
        <v>91</v>
      </c>
      <c r="C23" s="18" t="s">
        <v>89</v>
      </c>
      <c r="D23" s="19">
        <f>D16*1.1</f>
        <v>252.72720000000004</v>
      </c>
      <c r="E23" s="20"/>
      <c r="F23" s="20">
        <v>1500</v>
      </c>
      <c r="G23" s="21">
        <f t="shared" ref="G23:G29" si="1">(F23+E23)*D23</f>
        <v>379090.80000000005</v>
      </c>
      <c r="H23" s="22" t="s">
        <v>18</v>
      </c>
      <c r="I23" s="14"/>
      <c r="J23" s="14"/>
      <c r="K23" s="14"/>
      <c r="L23" s="14"/>
      <c r="M23" s="14"/>
      <c r="N23" s="75"/>
      <c r="O23" s="75"/>
    </row>
    <row r="24" spans="1:15" s="15" customFormat="1" ht="27.6">
      <c r="A24" s="16" t="s">
        <v>28</v>
      </c>
      <c r="B24" s="17" t="s">
        <v>146</v>
      </c>
      <c r="C24" s="18" t="s">
        <v>44</v>
      </c>
      <c r="D24" s="23">
        <f>D16*8</f>
        <v>1838.0160000000001</v>
      </c>
      <c r="E24" s="20"/>
      <c r="F24" s="20">
        <v>53</v>
      </c>
      <c r="G24" s="21">
        <f t="shared" si="1"/>
        <v>97414.847999999998</v>
      </c>
      <c r="H24" s="22"/>
      <c r="I24" s="14"/>
      <c r="J24" s="14"/>
      <c r="K24" s="14"/>
      <c r="L24" s="14"/>
      <c r="M24" s="14"/>
      <c r="N24" s="75"/>
      <c r="O24" s="75"/>
    </row>
    <row r="25" spans="1:15" s="15" customFormat="1">
      <c r="A25" s="16" t="s">
        <v>29</v>
      </c>
      <c r="B25" s="17" t="s">
        <v>93</v>
      </c>
      <c r="C25" s="18" t="s">
        <v>44</v>
      </c>
      <c r="D25" s="23">
        <f>D16*3/25</f>
        <v>27.570240000000002</v>
      </c>
      <c r="E25" s="20"/>
      <c r="F25" s="20">
        <v>1225</v>
      </c>
      <c r="G25" s="21">
        <f t="shared" si="1"/>
        <v>33773.544000000002</v>
      </c>
      <c r="H25" s="22" t="s">
        <v>92</v>
      </c>
      <c r="I25" s="14"/>
      <c r="J25" s="14"/>
      <c r="K25" s="14"/>
      <c r="L25" s="14"/>
      <c r="M25" s="14"/>
      <c r="N25" s="75"/>
      <c r="O25" s="75"/>
    </row>
    <row r="26" spans="1:15" s="15" customFormat="1">
      <c r="A26" s="16" t="s">
        <v>30</v>
      </c>
      <c r="B26" s="17" t="s">
        <v>98</v>
      </c>
      <c r="C26" s="18" t="s">
        <v>44</v>
      </c>
      <c r="D26" s="23">
        <f>D18*8/25</f>
        <v>2.88</v>
      </c>
      <c r="E26" s="20"/>
      <c r="F26" s="20">
        <v>280</v>
      </c>
      <c r="G26" s="21">
        <f t="shared" si="1"/>
        <v>806.4</v>
      </c>
      <c r="H26" s="22" t="s">
        <v>92</v>
      </c>
      <c r="I26" s="14"/>
      <c r="J26" s="14"/>
      <c r="K26" s="14"/>
      <c r="L26" s="14"/>
      <c r="M26" s="14"/>
      <c r="N26" s="75"/>
      <c r="O26" s="75"/>
    </row>
    <row r="27" spans="1:15" s="15" customFormat="1">
      <c r="A27" s="16" t="s">
        <v>31</v>
      </c>
      <c r="B27" s="17" t="s">
        <v>99</v>
      </c>
      <c r="C27" s="18" t="s">
        <v>89</v>
      </c>
      <c r="D27" s="86">
        <f>D18*1.1</f>
        <v>9.9</v>
      </c>
      <c r="E27" s="20"/>
      <c r="F27" s="20">
        <v>147</v>
      </c>
      <c r="G27" s="21">
        <f t="shared" si="1"/>
        <v>1455.3</v>
      </c>
      <c r="H27" s="22"/>
      <c r="I27" s="14"/>
      <c r="J27" s="14"/>
      <c r="K27" s="14"/>
      <c r="L27" s="14"/>
      <c r="M27" s="14"/>
      <c r="N27" s="75"/>
      <c r="O27" s="75"/>
    </row>
    <row r="28" spans="1:15" s="15" customFormat="1">
      <c r="A28" s="16" t="s">
        <v>32</v>
      </c>
      <c r="B28" s="17" t="s">
        <v>100</v>
      </c>
      <c r="C28" s="18" t="s">
        <v>44</v>
      </c>
      <c r="D28" s="19">
        <f>D18*0.4/10</f>
        <v>0.36</v>
      </c>
      <c r="E28" s="20"/>
      <c r="F28" s="20">
        <v>500</v>
      </c>
      <c r="G28" s="21">
        <f t="shared" si="1"/>
        <v>180</v>
      </c>
      <c r="H28" s="22"/>
      <c r="I28" s="14"/>
      <c r="J28" s="14"/>
      <c r="K28" s="14"/>
      <c r="L28" s="14"/>
      <c r="M28" s="14"/>
      <c r="N28" s="75"/>
      <c r="O28" s="75"/>
    </row>
    <row r="29" spans="1:15" s="15" customFormat="1">
      <c r="A29" s="16" t="s">
        <v>33</v>
      </c>
      <c r="B29" s="17" t="s">
        <v>101</v>
      </c>
      <c r="C29" s="18" t="s">
        <v>44</v>
      </c>
      <c r="D29" s="86">
        <f>D20*0.35/2.5</f>
        <v>1.26</v>
      </c>
      <c r="E29" s="20"/>
      <c r="F29" s="20">
        <v>181</v>
      </c>
      <c r="G29" s="21">
        <f t="shared" si="1"/>
        <v>228.06</v>
      </c>
      <c r="H29" s="22"/>
      <c r="I29" s="14"/>
      <c r="J29" s="14"/>
      <c r="K29" s="14"/>
      <c r="L29" s="14"/>
      <c r="M29" s="14"/>
      <c r="N29" s="75"/>
      <c r="O29" s="75"/>
    </row>
    <row r="30" spans="1:15" s="15" customFormat="1" ht="16.5" customHeight="1">
      <c r="A30" s="45"/>
      <c r="B30" s="46" t="s">
        <v>19</v>
      </c>
      <c r="C30" s="47"/>
      <c r="D30" s="48"/>
      <c r="E30" s="47"/>
      <c r="F30" s="47"/>
      <c r="G30" s="49">
        <f>SUM(G23:G29)</f>
        <v>512948.95200000005</v>
      </c>
      <c r="H30" s="50"/>
      <c r="I30" s="14"/>
      <c r="J30" s="14"/>
      <c r="K30" s="14"/>
      <c r="L30" s="14"/>
      <c r="M30" s="14"/>
      <c r="N30" s="75"/>
      <c r="O30" s="75"/>
    </row>
    <row r="31" spans="1:15" s="15" customFormat="1" ht="16.5" customHeight="1">
      <c r="A31" s="33" t="s">
        <v>34</v>
      </c>
      <c r="B31" s="34" t="s">
        <v>111</v>
      </c>
      <c r="C31" s="35"/>
      <c r="D31" s="36"/>
      <c r="E31" s="35"/>
      <c r="F31" s="35"/>
      <c r="G31" s="37"/>
      <c r="H31" s="38"/>
      <c r="I31" s="14"/>
      <c r="J31" s="14"/>
      <c r="K31" s="14"/>
      <c r="L31" s="14"/>
      <c r="M31" s="14"/>
      <c r="N31" s="75"/>
      <c r="O31" s="75"/>
    </row>
    <row r="32" spans="1:15" s="15" customFormat="1" ht="17.25" customHeight="1">
      <c r="A32" s="16" t="s">
        <v>35</v>
      </c>
      <c r="B32" s="17" t="s">
        <v>102</v>
      </c>
      <c r="C32" s="18" t="s">
        <v>89</v>
      </c>
      <c r="D32" s="19">
        <f>1.4*(7.534+8.84*2+5.84)</f>
        <v>43.475599999999993</v>
      </c>
      <c r="E32" s="20">
        <v>600</v>
      </c>
      <c r="F32" s="20"/>
      <c r="G32" s="21">
        <f>(F32+E32)*D32</f>
        <v>26085.359999999997</v>
      </c>
      <c r="H32" s="22"/>
      <c r="I32" s="14"/>
      <c r="J32" s="14"/>
      <c r="K32" s="14"/>
      <c r="L32" s="14"/>
      <c r="M32" s="14"/>
      <c r="N32" s="75"/>
      <c r="O32" s="75"/>
    </row>
    <row r="33" spans="1:15" s="15" customFormat="1">
      <c r="A33" s="16" t="s">
        <v>36</v>
      </c>
      <c r="B33" s="17" t="s">
        <v>103</v>
      </c>
      <c r="C33" s="18" t="s">
        <v>89</v>
      </c>
      <c r="D33" s="19">
        <f>1.525*2.534-0.4*0.4+0.6*1.2*2</f>
        <v>5.1443499999999993</v>
      </c>
      <c r="E33" s="20">
        <f>E18*1.2</f>
        <v>600</v>
      </c>
      <c r="F33" s="20"/>
      <c r="G33" s="21">
        <f>(F33+E33)*D33</f>
        <v>3086.6099999999997</v>
      </c>
      <c r="H33" s="22"/>
      <c r="I33" s="14"/>
      <c r="J33" s="14"/>
      <c r="K33" s="14"/>
      <c r="L33" s="14"/>
      <c r="M33" s="14"/>
      <c r="N33" s="75"/>
      <c r="O33" s="75"/>
    </row>
    <row r="34" spans="1:15" s="15" customFormat="1" ht="16.5" customHeight="1">
      <c r="A34" s="16" t="s">
        <v>37</v>
      </c>
      <c r="B34" s="17" t="s">
        <v>104</v>
      </c>
      <c r="C34" s="18" t="s">
        <v>89</v>
      </c>
      <c r="D34" s="19">
        <f>D33</f>
        <v>5.1443499999999993</v>
      </c>
      <c r="E34" s="20">
        <f t="shared" ref="E34:E35" si="2">E19*1.2</f>
        <v>144</v>
      </c>
      <c r="F34" s="20"/>
      <c r="G34" s="21">
        <f>(F34+E34)*D34</f>
        <v>740.78639999999996</v>
      </c>
      <c r="H34" s="22"/>
      <c r="I34" s="14"/>
      <c r="J34" s="14"/>
      <c r="K34" s="14"/>
      <c r="L34" s="14"/>
      <c r="M34" s="14"/>
      <c r="N34" s="75"/>
      <c r="O34" s="75"/>
    </row>
    <row r="35" spans="1:15" s="15" customFormat="1">
      <c r="A35" s="16" t="s">
        <v>36</v>
      </c>
      <c r="B35" s="17" t="s">
        <v>105</v>
      </c>
      <c r="C35" s="18" t="s">
        <v>89</v>
      </c>
      <c r="D35" s="19">
        <f>D34</f>
        <v>5.1443499999999993</v>
      </c>
      <c r="E35" s="20">
        <f t="shared" si="2"/>
        <v>360</v>
      </c>
      <c r="F35" s="20"/>
      <c r="G35" s="21">
        <f>(F35+E35)*D35</f>
        <v>1851.9659999999997</v>
      </c>
      <c r="H35" s="22"/>
      <c r="I35" s="14"/>
      <c r="J35" s="14"/>
      <c r="K35" s="14"/>
      <c r="L35" s="14"/>
      <c r="M35" s="14"/>
      <c r="N35" s="75"/>
      <c r="O35" s="75"/>
    </row>
    <row r="36" spans="1:15" s="15" customFormat="1" ht="16.5" customHeight="1">
      <c r="A36" s="45"/>
      <c r="B36" s="46" t="s">
        <v>13</v>
      </c>
      <c r="C36" s="47"/>
      <c r="D36" s="48"/>
      <c r="E36" s="47"/>
      <c r="F36" s="47"/>
      <c r="G36" s="49">
        <f>SUM(G32:G35)</f>
        <v>31764.722399999999</v>
      </c>
      <c r="H36" s="50"/>
      <c r="I36" s="14"/>
      <c r="J36" s="14"/>
      <c r="K36" s="14"/>
      <c r="L36" s="14"/>
      <c r="M36" s="14"/>
      <c r="N36" s="75"/>
      <c r="O36" s="75"/>
    </row>
    <row r="37" spans="1:15" s="15" customFormat="1" ht="16.5" customHeight="1">
      <c r="A37" s="33" t="s">
        <v>38</v>
      </c>
      <c r="B37" s="34" t="s">
        <v>15</v>
      </c>
      <c r="C37" s="35"/>
      <c r="D37" s="36"/>
      <c r="E37" s="35"/>
      <c r="F37" s="35"/>
      <c r="G37" s="37"/>
      <c r="H37" s="38"/>
      <c r="I37" s="14"/>
      <c r="J37" s="14"/>
      <c r="K37" s="14"/>
      <c r="L37" s="14"/>
      <c r="M37" s="14"/>
      <c r="N37" s="75"/>
      <c r="O37" s="75"/>
    </row>
    <row r="38" spans="1:15" s="15" customFormat="1">
      <c r="A38" s="16" t="s">
        <v>39</v>
      </c>
      <c r="B38" s="17" t="s">
        <v>107</v>
      </c>
      <c r="C38" s="18" t="s">
        <v>44</v>
      </c>
      <c r="D38" s="19">
        <v>155</v>
      </c>
      <c r="E38" s="20"/>
      <c r="F38" s="20">
        <v>487</v>
      </c>
      <c r="G38" s="21">
        <f t="shared" ref="G38:G45" si="3">(F38+E38)*D38</f>
        <v>75485</v>
      </c>
      <c r="H38" s="22"/>
      <c r="I38" s="14"/>
      <c r="J38" s="14"/>
      <c r="K38" s="14"/>
      <c r="L38" s="14"/>
      <c r="M38" s="14"/>
      <c r="N38" s="75"/>
      <c r="O38" s="75"/>
    </row>
    <row r="39" spans="1:15" s="15" customFormat="1">
      <c r="A39" s="16" t="s">
        <v>40</v>
      </c>
      <c r="B39" s="17" t="s">
        <v>106</v>
      </c>
      <c r="C39" s="18" t="s">
        <v>44</v>
      </c>
      <c r="D39" s="23">
        <v>26</v>
      </c>
      <c r="E39" s="20"/>
      <c r="F39" s="20">
        <v>137</v>
      </c>
      <c r="G39" s="21">
        <f t="shared" si="3"/>
        <v>3562</v>
      </c>
      <c r="H39" s="22"/>
      <c r="I39" s="14"/>
      <c r="J39" s="14"/>
      <c r="K39" s="14"/>
      <c r="L39" s="14"/>
      <c r="M39" s="14"/>
      <c r="N39" s="75"/>
      <c r="O39" s="75"/>
    </row>
    <row r="40" spans="1:15" s="15" customFormat="1">
      <c r="A40" s="16" t="s">
        <v>41</v>
      </c>
      <c r="B40" s="17" t="s">
        <v>108</v>
      </c>
      <c r="C40" s="18" t="s">
        <v>44</v>
      </c>
      <c r="D40" s="19">
        <v>25</v>
      </c>
      <c r="E40" s="20"/>
      <c r="F40" s="20">
        <v>471</v>
      </c>
      <c r="G40" s="21">
        <f t="shared" si="3"/>
        <v>11775</v>
      </c>
      <c r="H40" s="22"/>
      <c r="I40" s="14"/>
      <c r="J40" s="14"/>
      <c r="K40" s="14"/>
      <c r="L40" s="14"/>
      <c r="M40" s="14"/>
      <c r="N40" s="75"/>
      <c r="O40" s="75"/>
    </row>
    <row r="41" spans="1:15" s="15" customFormat="1">
      <c r="A41" s="16" t="s">
        <v>42</v>
      </c>
      <c r="B41" s="17" t="s">
        <v>109</v>
      </c>
      <c r="C41" s="18" t="s">
        <v>110</v>
      </c>
      <c r="D41" s="19">
        <v>4</v>
      </c>
      <c r="E41" s="20"/>
      <c r="F41" s="20">
        <v>330</v>
      </c>
      <c r="G41" s="21">
        <f t="shared" si="3"/>
        <v>1320</v>
      </c>
      <c r="H41" s="22"/>
      <c r="I41" s="14"/>
      <c r="J41" s="14"/>
      <c r="K41" s="14"/>
      <c r="L41" s="14"/>
      <c r="M41" s="14"/>
      <c r="N41" s="75"/>
      <c r="O41" s="75"/>
    </row>
    <row r="42" spans="1:15" s="15" customFormat="1">
      <c r="A42" s="16" t="s">
        <v>43</v>
      </c>
      <c r="B42" s="17" t="s">
        <v>98</v>
      </c>
      <c r="C42" s="18" t="s">
        <v>44</v>
      </c>
      <c r="D42" s="23">
        <f>D34*8/25</f>
        <v>1.6461919999999999</v>
      </c>
      <c r="E42" s="20"/>
      <c r="F42" s="20">
        <v>280</v>
      </c>
      <c r="G42" s="21">
        <f t="shared" si="3"/>
        <v>460.93375999999995</v>
      </c>
      <c r="H42" s="22" t="s">
        <v>92</v>
      </c>
      <c r="I42" s="14"/>
      <c r="J42" s="14"/>
      <c r="K42" s="14"/>
      <c r="L42" s="14"/>
      <c r="M42" s="14"/>
      <c r="N42" s="75"/>
      <c r="O42" s="75"/>
    </row>
    <row r="43" spans="1:15" s="15" customFormat="1" ht="17.25" customHeight="1">
      <c r="A43" s="16" t="s">
        <v>45</v>
      </c>
      <c r="B43" s="17" t="s">
        <v>99</v>
      </c>
      <c r="C43" s="18" t="s">
        <v>89</v>
      </c>
      <c r="D43" s="86">
        <f>D34*1.1</f>
        <v>5.658785</v>
      </c>
      <c r="E43" s="20"/>
      <c r="F43" s="20">
        <v>147</v>
      </c>
      <c r="G43" s="21">
        <f t="shared" si="3"/>
        <v>831.84139500000003</v>
      </c>
      <c r="H43" s="22"/>
      <c r="I43" s="14"/>
      <c r="J43" s="14"/>
      <c r="K43" s="14"/>
      <c r="L43" s="14"/>
      <c r="M43" s="14"/>
      <c r="N43" s="75"/>
      <c r="O43" s="75"/>
    </row>
    <row r="44" spans="1:15" s="15" customFormat="1">
      <c r="A44" s="16" t="s">
        <v>46</v>
      </c>
      <c r="B44" s="17" t="s">
        <v>100</v>
      </c>
      <c r="C44" s="18" t="s">
        <v>44</v>
      </c>
      <c r="D44" s="19">
        <f>D34*0.4/10</f>
        <v>0.20577399999999998</v>
      </c>
      <c r="E44" s="20"/>
      <c r="F44" s="20">
        <v>500</v>
      </c>
      <c r="G44" s="21">
        <f t="shared" si="3"/>
        <v>102.88699999999999</v>
      </c>
      <c r="H44" s="22"/>
      <c r="I44" s="14"/>
      <c r="J44" s="14"/>
      <c r="K44" s="14"/>
      <c r="L44" s="14"/>
      <c r="M44" s="14"/>
      <c r="N44" s="75"/>
      <c r="O44" s="75"/>
    </row>
    <row r="45" spans="1:15" s="15" customFormat="1">
      <c r="A45" s="16" t="s">
        <v>47</v>
      </c>
      <c r="B45" s="17" t="s">
        <v>101</v>
      </c>
      <c r="C45" s="18" t="s">
        <v>44</v>
      </c>
      <c r="D45" s="86">
        <f>D35*0.35/2.5</f>
        <v>0.72020899999999988</v>
      </c>
      <c r="E45" s="20"/>
      <c r="F45" s="20">
        <v>181</v>
      </c>
      <c r="G45" s="21">
        <f t="shared" si="3"/>
        <v>130.35782899999998</v>
      </c>
      <c r="H45" s="22"/>
      <c r="I45" s="14"/>
      <c r="J45" s="14"/>
      <c r="K45" s="14"/>
      <c r="L45" s="14"/>
      <c r="M45" s="14"/>
      <c r="N45" s="75"/>
      <c r="O45" s="75"/>
    </row>
    <row r="46" spans="1:15" s="15" customFormat="1" ht="16.5" customHeight="1">
      <c r="A46" s="45"/>
      <c r="B46" s="46" t="s">
        <v>19</v>
      </c>
      <c r="C46" s="47"/>
      <c r="D46" s="48"/>
      <c r="E46" s="47"/>
      <c r="F46" s="47"/>
      <c r="G46" s="49">
        <f>SUM(G38:G45)</f>
        <v>93668.019983999999</v>
      </c>
      <c r="H46" s="50"/>
      <c r="I46" s="14"/>
      <c r="J46" s="14"/>
      <c r="K46" s="14"/>
      <c r="L46" s="14"/>
      <c r="M46" s="14"/>
      <c r="N46" s="75"/>
      <c r="O46" s="75"/>
    </row>
    <row r="47" spans="1:15" s="15" customFormat="1" ht="16.5" customHeight="1">
      <c r="A47" s="33" t="s">
        <v>48</v>
      </c>
      <c r="B47" s="34" t="s">
        <v>112</v>
      </c>
      <c r="C47" s="35"/>
      <c r="D47" s="36"/>
      <c r="E47" s="35"/>
      <c r="F47" s="35"/>
      <c r="G47" s="37"/>
      <c r="H47" s="38"/>
      <c r="I47" s="14"/>
      <c r="J47" s="14"/>
      <c r="K47" s="14"/>
      <c r="L47" s="14"/>
      <c r="M47" s="14"/>
      <c r="N47" s="75"/>
      <c r="O47" s="75"/>
    </row>
    <row r="48" spans="1:15" s="15" customFormat="1" ht="17.25" customHeight="1">
      <c r="A48" s="16" t="s">
        <v>49</v>
      </c>
      <c r="B48" s="17" t="s">
        <v>114</v>
      </c>
      <c r="C48" s="18" t="s">
        <v>113</v>
      </c>
      <c r="D48" s="19">
        <f>(7.534+5.84)+(1.8+3.8+3.4+1+4.2+3.2+3+3)</f>
        <v>36.774000000000001</v>
      </c>
      <c r="E48" s="20"/>
      <c r="F48" s="20">
        <v>450</v>
      </c>
      <c r="G48" s="21">
        <f>(F48+E48)*D48</f>
        <v>16548.3</v>
      </c>
      <c r="H48" s="22"/>
      <c r="I48" s="14"/>
      <c r="J48" s="14"/>
      <c r="K48" s="14"/>
      <c r="L48" s="14"/>
      <c r="M48" s="14"/>
      <c r="N48" s="75"/>
      <c r="O48" s="75"/>
    </row>
    <row r="49" spans="1:15" s="15" customFormat="1" ht="16.5" customHeight="1">
      <c r="A49" s="45"/>
      <c r="B49" s="46" t="s">
        <v>13</v>
      </c>
      <c r="C49" s="47"/>
      <c r="D49" s="48"/>
      <c r="E49" s="47"/>
      <c r="F49" s="47"/>
      <c r="G49" s="49">
        <f>SUM(G48:G48)</f>
        <v>16548.3</v>
      </c>
      <c r="H49" s="50"/>
      <c r="I49" s="14"/>
      <c r="J49" s="14"/>
      <c r="K49" s="14"/>
      <c r="L49" s="14"/>
      <c r="M49" s="14"/>
      <c r="N49" s="75"/>
      <c r="O49" s="75"/>
    </row>
    <row r="50" spans="1:15" s="15" customFormat="1" ht="16.5" customHeight="1">
      <c r="A50" s="33" t="s">
        <v>50</v>
      </c>
      <c r="B50" s="34" t="s">
        <v>15</v>
      </c>
      <c r="C50" s="35"/>
      <c r="D50" s="36"/>
      <c r="E50" s="35"/>
      <c r="F50" s="35"/>
      <c r="G50" s="37"/>
      <c r="H50" s="38"/>
      <c r="I50" s="14"/>
      <c r="J50" s="14"/>
      <c r="K50" s="14"/>
      <c r="L50" s="14"/>
      <c r="M50" s="14"/>
      <c r="N50" s="75"/>
      <c r="O50" s="75"/>
    </row>
    <row r="51" spans="1:15" s="15" customFormat="1">
      <c r="A51" s="16" t="s">
        <v>51</v>
      </c>
      <c r="B51" s="17" t="s">
        <v>117</v>
      </c>
      <c r="C51" s="18" t="s">
        <v>44</v>
      </c>
      <c r="D51" s="19">
        <v>5</v>
      </c>
      <c r="E51" s="20"/>
      <c r="F51" s="20">
        <v>1128</v>
      </c>
      <c r="G51" s="21">
        <f t="shared" ref="G51:G60" si="4">(F51+E51)*D51</f>
        <v>5640</v>
      </c>
      <c r="H51" s="22"/>
      <c r="I51" s="14"/>
      <c r="J51" s="14"/>
      <c r="K51" s="14"/>
      <c r="L51" s="14"/>
      <c r="M51" s="14"/>
      <c r="N51" s="75"/>
      <c r="O51" s="75"/>
    </row>
    <row r="52" spans="1:15" s="15" customFormat="1">
      <c r="A52" s="16" t="s">
        <v>52</v>
      </c>
      <c r="B52" s="17" t="s">
        <v>121</v>
      </c>
      <c r="C52" s="18" t="s">
        <v>44</v>
      </c>
      <c r="D52" s="19">
        <v>8</v>
      </c>
      <c r="E52" s="20"/>
      <c r="F52" s="20">
        <v>506</v>
      </c>
      <c r="G52" s="21">
        <f t="shared" si="4"/>
        <v>4048</v>
      </c>
      <c r="H52" s="22"/>
      <c r="I52" s="14"/>
      <c r="J52" s="14"/>
      <c r="K52" s="14"/>
      <c r="L52" s="14"/>
      <c r="M52" s="14"/>
      <c r="N52" s="75"/>
      <c r="O52" s="75"/>
    </row>
    <row r="53" spans="1:15" s="15" customFormat="1" ht="14.4">
      <c r="A53" s="16" t="s">
        <v>53</v>
      </c>
      <c r="B53" s="17" t="s">
        <v>120</v>
      </c>
      <c r="C53" s="18" t="s">
        <v>44</v>
      </c>
      <c r="D53" s="19">
        <v>5</v>
      </c>
      <c r="E53" s="20"/>
      <c r="F53" s="20">
        <v>214</v>
      </c>
      <c r="G53" s="21">
        <f t="shared" si="4"/>
        <v>1070</v>
      </c>
      <c r="H53" s="22"/>
      <c r="I53" s="14"/>
      <c r="J53" s="14"/>
      <c r="K53" s="14"/>
      <c r="L53" s="14"/>
      <c r="M53" s="14"/>
      <c r="N53" s="75"/>
      <c r="O53" s="75"/>
    </row>
    <row r="54" spans="1:15" s="15" customFormat="1" ht="14.4">
      <c r="A54" s="16" t="s">
        <v>54</v>
      </c>
      <c r="B54" s="17" t="s">
        <v>119</v>
      </c>
      <c r="C54" s="18" t="s">
        <v>44</v>
      </c>
      <c r="D54" s="19">
        <v>2</v>
      </c>
      <c r="E54" s="20"/>
      <c r="F54" s="20">
        <v>216</v>
      </c>
      <c r="G54" s="21">
        <f t="shared" si="4"/>
        <v>432</v>
      </c>
      <c r="H54" s="22"/>
      <c r="I54" s="14"/>
      <c r="J54" s="14"/>
      <c r="K54" s="14"/>
      <c r="L54" s="14"/>
      <c r="M54" s="14"/>
      <c r="N54" s="75"/>
      <c r="O54" s="75"/>
    </row>
    <row r="55" spans="1:15" s="15" customFormat="1">
      <c r="A55" s="16" t="s">
        <v>55</v>
      </c>
      <c r="B55" s="17" t="s">
        <v>115</v>
      </c>
      <c r="C55" s="18" t="s">
        <v>44</v>
      </c>
      <c r="D55" s="19">
        <v>14</v>
      </c>
      <c r="E55" s="20"/>
      <c r="F55" s="20">
        <v>64</v>
      </c>
      <c r="G55" s="21">
        <f t="shared" si="4"/>
        <v>896</v>
      </c>
      <c r="H55" s="22"/>
      <c r="I55" s="14"/>
      <c r="J55" s="14"/>
      <c r="K55" s="14"/>
      <c r="L55" s="14"/>
      <c r="M55" s="14"/>
      <c r="N55" s="75"/>
      <c r="O55" s="75"/>
    </row>
    <row r="56" spans="1:15" s="15" customFormat="1">
      <c r="A56" s="16" t="s">
        <v>56</v>
      </c>
      <c r="B56" s="17" t="s">
        <v>116</v>
      </c>
      <c r="C56" s="18" t="s">
        <v>44</v>
      </c>
      <c r="D56" s="19">
        <v>19</v>
      </c>
      <c r="E56" s="20"/>
      <c r="F56" s="20">
        <v>75</v>
      </c>
      <c r="G56" s="21">
        <f t="shared" si="4"/>
        <v>1425</v>
      </c>
      <c r="H56" s="22"/>
      <c r="I56" s="14"/>
      <c r="J56" s="14"/>
      <c r="K56" s="14"/>
      <c r="L56" s="14"/>
      <c r="M56" s="14"/>
      <c r="N56" s="75"/>
      <c r="O56" s="75"/>
    </row>
    <row r="57" spans="1:15" s="15" customFormat="1">
      <c r="A57" s="16" t="s">
        <v>57</v>
      </c>
      <c r="B57" s="17" t="s">
        <v>118</v>
      </c>
      <c r="C57" s="18" t="s">
        <v>44</v>
      </c>
      <c r="D57" s="19">
        <v>2</v>
      </c>
      <c r="E57" s="20"/>
      <c r="F57" s="20">
        <v>303</v>
      </c>
      <c r="G57" s="21">
        <f t="shared" si="4"/>
        <v>606</v>
      </c>
      <c r="H57" s="22"/>
      <c r="I57" s="14"/>
      <c r="J57" s="14"/>
      <c r="K57" s="14"/>
      <c r="L57" s="14"/>
      <c r="M57" s="14"/>
      <c r="N57" s="75"/>
      <c r="O57" s="75"/>
    </row>
    <row r="58" spans="1:15" s="15" customFormat="1">
      <c r="A58" s="16" t="s">
        <v>58</v>
      </c>
      <c r="B58" s="17" t="s">
        <v>122</v>
      </c>
      <c r="C58" s="18" t="s">
        <v>44</v>
      </c>
      <c r="D58" s="19">
        <v>4</v>
      </c>
      <c r="E58" s="20"/>
      <c r="F58" s="20">
        <v>188</v>
      </c>
      <c r="G58" s="21">
        <f t="shared" si="4"/>
        <v>752</v>
      </c>
      <c r="H58" s="22"/>
      <c r="I58" s="14"/>
      <c r="J58" s="14"/>
      <c r="K58" s="14"/>
      <c r="L58" s="14"/>
      <c r="M58" s="14"/>
      <c r="N58" s="75"/>
      <c r="O58" s="75"/>
    </row>
    <row r="59" spans="1:15" s="15" customFormat="1">
      <c r="A59" s="16" t="s">
        <v>59</v>
      </c>
      <c r="B59" s="17" t="s">
        <v>123</v>
      </c>
      <c r="C59" s="18" t="s">
        <v>44</v>
      </c>
      <c r="D59" s="19">
        <v>2</v>
      </c>
      <c r="E59" s="20"/>
      <c r="F59" s="20">
        <v>68</v>
      </c>
      <c r="G59" s="21">
        <f t="shared" ref="G59" si="5">(F59+E59)*D59</f>
        <v>136</v>
      </c>
      <c r="H59" s="22"/>
      <c r="I59" s="14"/>
      <c r="J59" s="14"/>
      <c r="K59" s="14"/>
      <c r="L59" s="14"/>
      <c r="M59" s="14"/>
      <c r="N59" s="75"/>
      <c r="O59" s="75"/>
    </row>
    <row r="60" spans="1:15" s="15" customFormat="1">
      <c r="A60" s="16" t="s">
        <v>59</v>
      </c>
      <c r="B60" s="17" t="s">
        <v>124</v>
      </c>
      <c r="C60" s="18" t="s">
        <v>44</v>
      </c>
      <c r="D60" s="19">
        <v>10</v>
      </c>
      <c r="E60" s="20"/>
      <c r="F60" s="20">
        <v>90</v>
      </c>
      <c r="G60" s="21">
        <f t="shared" si="4"/>
        <v>900</v>
      </c>
      <c r="H60" s="22"/>
      <c r="I60" s="14"/>
      <c r="J60" s="14"/>
      <c r="K60" s="14"/>
      <c r="L60" s="14"/>
      <c r="M60" s="14"/>
      <c r="N60" s="75"/>
      <c r="O60" s="75"/>
    </row>
    <row r="61" spans="1:15" s="15" customFormat="1" ht="16.5" customHeight="1">
      <c r="A61" s="45"/>
      <c r="B61" s="46" t="s">
        <v>19</v>
      </c>
      <c r="C61" s="47"/>
      <c r="D61" s="48"/>
      <c r="E61" s="47"/>
      <c r="F61" s="47"/>
      <c r="G61" s="49">
        <f>SUM(G51:G60)</f>
        <v>15905</v>
      </c>
      <c r="H61" s="50"/>
      <c r="I61" s="14"/>
      <c r="J61" s="14"/>
      <c r="K61" s="14"/>
      <c r="L61" s="14"/>
      <c r="M61" s="14"/>
      <c r="N61" s="75"/>
      <c r="O61" s="75"/>
    </row>
    <row r="62" spans="1:15" s="15" customFormat="1" ht="16.5" customHeight="1">
      <c r="A62" s="33" t="s">
        <v>60</v>
      </c>
      <c r="B62" s="34" t="s">
        <v>133</v>
      </c>
      <c r="C62" s="35"/>
      <c r="D62" s="36"/>
      <c r="E62" s="35"/>
      <c r="F62" s="35"/>
      <c r="G62" s="37"/>
      <c r="H62" s="38"/>
      <c r="I62" s="14"/>
      <c r="J62" s="14"/>
      <c r="K62" s="14"/>
      <c r="L62" s="14"/>
      <c r="M62" s="14"/>
      <c r="N62" s="75"/>
      <c r="O62" s="75"/>
    </row>
    <row r="63" spans="1:15" s="15" customFormat="1" ht="17.25" customHeight="1">
      <c r="A63" s="16" t="s">
        <v>61</v>
      </c>
      <c r="B63" s="17" t="s">
        <v>125</v>
      </c>
      <c r="C63" s="18" t="s">
        <v>126</v>
      </c>
      <c r="D63" s="19">
        <f>(8.5+7+16+4)*1.6</f>
        <v>56.800000000000004</v>
      </c>
      <c r="E63" s="20">
        <v>800</v>
      </c>
      <c r="F63" s="20"/>
      <c r="G63" s="21">
        <f>(F63+E63)*D63</f>
        <v>45440</v>
      </c>
      <c r="H63" s="22"/>
      <c r="I63" s="14"/>
      <c r="J63" s="14"/>
      <c r="K63" s="14"/>
      <c r="L63" s="14"/>
      <c r="M63" s="14"/>
      <c r="N63" s="75"/>
      <c r="O63" s="75"/>
    </row>
    <row r="64" spans="1:15" s="15" customFormat="1">
      <c r="A64" s="16" t="s">
        <v>62</v>
      </c>
      <c r="B64" s="17" t="s">
        <v>131</v>
      </c>
      <c r="C64" s="18" t="s">
        <v>113</v>
      </c>
      <c r="D64" s="19">
        <f>(8.5+7+16+4)</f>
        <v>35.5</v>
      </c>
      <c r="E64" s="20">
        <v>600</v>
      </c>
      <c r="F64" s="20"/>
      <c r="G64" s="21">
        <f t="shared" ref="G64:G67" si="6">(F64+E64)*D64</f>
        <v>21300</v>
      </c>
      <c r="H64" s="22"/>
      <c r="I64" s="14"/>
      <c r="J64" s="14"/>
      <c r="K64" s="14"/>
      <c r="L64" s="14"/>
      <c r="M64" s="14"/>
      <c r="N64" s="75"/>
      <c r="O64" s="75"/>
    </row>
    <row r="65" spans="1:15" s="15" customFormat="1" ht="27.6">
      <c r="A65" s="16" t="s">
        <v>63</v>
      </c>
      <c r="B65" s="17" t="s">
        <v>127</v>
      </c>
      <c r="C65" s="18" t="s">
        <v>126</v>
      </c>
      <c r="D65" s="19">
        <f>(8.5+7+16+4)*1.2</f>
        <v>42.6</v>
      </c>
      <c r="E65" s="20">
        <v>850</v>
      </c>
      <c r="F65" s="20"/>
      <c r="G65" s="21">
        <f t="shared" si="6"/>
        <v>36210</v>
      </c>
      <c r="H65" s="22"/>
      <c r="I65" s="14"/>
      <c r="J65" s="14"/>
      <c r="K65" s="14"/>
      <c r="L65" s="14"/>
      <c r="M65" s="14"/>
      <c r="N65" s="75"/>
      <c r="O65" s="75"/>
    </row>
    <row r="66" spans="1:15" s="15" customFormat="1">
      <c r="A66" s="16" t="s">
        <v>64</v>
      </c>
      <c r="B66" s="17" t="s">
        <v>128</v>
      </c>
      <c r="C66" s="18" t="s">
        <v>44</v>
      </c>
      <c r="D66" s="19">
        <v>3</v>
      </c>
      <c r="E66" s="20">
        <v>3000</v>
      </c>
      <c r="F66" s="20"/>
      <c r="G66" s="21">
        <f t="shared" si="6"/>
        <v>9000</v>
      </c>
      <c r="H66" s="22"/>
      <c r="I66" s="14"/>
      <c r="J66" s="14"/>
      <c r="K66" s="14"/>
      <c r="L66" s="14"/>
      <c r="M66" s="14"/>
      <c r="N66" s="75"/>
      <c r="O66" s="75"/>
    </row>
    <row r="67" spans="1:15" s="15" customFormat="1">
      <c r="A67" s="16" t="s">
        <v>65</v>
      </c>
      <c r="B67" s="17" t="s">
        <v>134</v>
      </c>
      <c r="C67" s="18" t="s">
        <v>113</v>
      </c>
      <c r="D67" s="19">
        <f>6+8</f>
        <v>14</v>
      </c>
      <c r="E67" s="20">
        <v>300</v>
      </c>
      <c r="F67" s="20"/>
      <c r="G67" s="21">
        <f t="shared" si="6"/>
        <v>4200</v>
      </c>
      <c r="H67" s="22"/>
      <c r="I67" s="14"/>
      <c r="J67" s="14"/>
      <c r="K67" s="14"/>
      <c r="L67" s="14"/>
      <c r="M67" s="14"/>
      <c r="N67" s="75"/>
      <c r="O67" s="75"/>
    </row>
    <row r="68" spans="1:15" s="15" customFormat="1" ht="16.5" customHeight="1">
      <c r="A68" s="45"/>
      <c r="B68" s="46" t="s">
        <v>13</v>
      </c>
      <c r="C68" s="47"/>
      <c r="D68" s="48"/>
      <c r="E68" s="47"/>
      <c r="F68" s="47"/>
      <c r="G68" s="49">
        <f>SUM(G63:G67)</f>
        <v>116150</v>
      </c>
      <c r="H68" s="50"/>
      <c r="I68" s="14"/>
      <c r="J68" s="14"/>
      <c r="K68" s="14"/>
      <c r="L68" s="14"/>
      <c r="M68" s="14"/>
      <c r="N68" s="75"/>
      <c r="O68" s="75"/>
    </row>
    <row r="69" spans="1:15" s="15" customFormat="1" ht="16.5" customHeight="1">
      <c r="A69" s="33" t="s">
        <v>66</v>
      </c>
      <c r="B69" s="34" t="s">
        <v>15</v>
      </c>
      <c r="C69" s="35"/>
      <c r="D69" s="36"/>
      <c r="E69" s="35"/>
      <c r="F69" s="35"/>
      <c r="G69" s="37"/>
      <c r="H69" s="38"/>
      <c r="I69" s="14"/>
      <c r="J69" s="14"/>
      <c r="K69" s="14"/>
      <c r="L69" s="14"/>
      <c r="M69" s="14"/>
      <c r="N69" s="75"/>
      <c r="O69" s="75"/>
    </row>
    <row r="70" spans="1:15" s="15" customFormat="1" ht="27.6">
      <c r="A70" s="16" t="s">
        <v>67</v>
      </c>
      <c r="B70" s="17" t="s">
        <v>129</v>
      </c>
      <c r="C70" s="18" t="s">
        <v>44</v>
      </c>
      <c r="D70" s="19">
        <v>1</v>
      </c>
      <c r="E70" s="20"/>
      <c r="F70" s="20">
        <v>3878</v>
      </c>
      <c r="G70" s="21">
        <f t="shared" ref="G70:G75" si="7">(F70+E70)*D70</f>
        <v>3878</v>
      </c>
      <c r="H70" s="22"/>
      <c r="I70" s="14"/>
      <c r="J70" s="14"/>
      <c r="K70" s="14"/>
      <c r="L70" s="14"/>
      <c r="M70" s="14"/>
      <c r="N70" s="75"/>
      <c r="O70" s="75"/>
    </row>
    <row r="71" spans="1:15" s="15" customFormat="1" ht="27.6">
      <c r="A71" s="16" t="s">
        <v>68</v>
      </c>
      <c r="B71" s="17" t="s">
        <v>130</v>
      </c>
      <c r="C71" s="18" t="s">
        <v>44</v>
      </c>
      <c r="D71" s="19">
        <v>3</v>
      </c>
      <c r="E71" s="20"/>
      <c r="F71" s="20">
        <v>3483</v>
      </c>
      <c r="G71" s="21">
        <f t="shared" si="7"/>
        <v>10449</v>
      </c>
      <c r="H71" s="22"/>
      <c r="I71" s="14"/>
      <c r="J71" s="14"/>
      <c r="K71" s="14"/>
      <c r="L71" s="14"/>
      <c r="M71" s="14"/>
      <c r="N71" s="75"/>
      <c r="O71" s="75"/>
    </row>
    <row r="72" spans="1:15" s="15" customFormat="1">
      <c r="A72" s="16" t="s">
        <v>69</v>
      </c>
      <c r="B72" s="17" t="s">
        <v>132</v>
      </c>
      <c r="C72" s="18" t="s">
        <v>126</v>
      </c>
      <c r="D72" s="19">
        <f>D63-D65</f>
        <v>14.200000000000003</v>
      </c>
      <c r="E72" s="20"/>
      <c r="F72" s="20">
        <v>1800</v>
      </c>
      <c r="G72" s="21">
        <f t="shared" si="7"/>
        <v>25560.000000000004</v>
      </c>
      <c r="H72" s="22"/>
      <c r="I72" s="14"/>
      <c r="J72" s="14"/>
      <c r="K72" s="14"/>
      <c r="L72" s="14"/>
      <c r="M72" s="14"/>
      <c r="N72" s="75"/>
      <c r="O72" s="75"/>
    </row>
    <row r="73" spans="1:15" s="15" customFormat="1" ht="27.6">
      <c r="A73" s="16" t="s">
        <v>70</v>
      </c>
      <c r="B73" s="17" t="s">
        <v>135</v>
      </c>
      <c r="C73" s="18" t="s">
        <v>44</v>
      </c>
      <c r="D73" s="19">
        <v>14</v>
      </c>
      <c r="E73" s="20"/>
      <c r="F73" s="20">
        <v>680</v>
      </c>
      <c r="G73" s="21">
        <f t="shared" si="7"/>
        <v>9520</v>
      </c>
      <c r="H73" s="22"/>
      <c r="I73" s="14"/>
      <c r="J73" s="14"/>
      <c r="K73" s="14"/>
      <c r="L73" s="14"/>
      <c r="M73" s="14"/>
      <c r="N73" s="75"/>
      <c r="O73" s="75"/>
    </row>
    <row r="74" spans="1:15" s="15" customFormat="1">
      <c r="A74" s="16" t="s">
        <v>71</v>
      </c>
      <c r="B74" s="17" t="s">
        <v>136</v>
      </c>
      <c r="C74" s="18" t="s">
        <v>44</v>
      </c>
      <c r="D74" s="19">
        <v>4</v>
      </c>
      <c r="E74" s="20"/>
      <c r="F74" s="20">
        <v>120</v>
      </c>
      <c r="G74" s="21">
        <f t="shared" si="7"/>
        <v>480</v>
      </c>
      <c r="H74" s="22"/>
      <c r="I74" s="14"/>
      <c r="J74" s="14"/>
      <c r="K74" s="14"/>
      <c r="L74" s="14"/>
      <c r="M74" s="14"/>
      <c r="N74" s="75"/>
      <c r="O74" s="75"/>
    </row>
    <row r="75" spans="1:15" s="15" customFormat="1">
      <c r="A75" s="16" t="s">
        <v>72</v>
      </c>
      <c r="B75" s="17" t="s">
        <v>137</v>
      </c>
      <c r="C75" s="18" t="s">
        <v>44</v>
      </c>
      <c r="D75" s="19">
        <v>2</v>
      </c>
      <c r="E75" s="20"/>
      <c r="F75" s="20">
        <v>1154</v>
      </c>
      <c r="G75" s="21">
        <f t="shared" si="7"/>
        <v>2308</v>
      </c>
      <c r="H75" s="22"/>
      <c r="I75" s="14"/>
      <c r="J75" s="14"/>
      <c r="K75" s="14"/>
      <c r="L75" s="14"/>
      <c r="M75" s="14"/>
      <c r="N75" s="75"/>
      <c r="O75" s="75"/>
    </row>
    <row r="76" spans="1:15" s="15" customFormat="1" ht="16.5" customHeight="1">
      <c r="A76" s="45"/>
      <c r="B76" s="46" t="s">
        <v>19</v>
      </c>
      <c r="C76" s="47"/>
      <c r="D76" s="48"/>
      <c r="E76" s="47"/>
      <c r="F76" s="47"/>
      <c r="G76" s="49">
        <f>SUM(G70:G75)</f>
        <v>52195</v>
      </c>
      <c r="H76" s="50"/>
      <c r="I76" s="14"/>
      <c r="J76" s="14"/>
      <c r="K76" s="14"/>
      <c r="L76" s="14"/>
      <c r="M76" s="14"/>
      <c r="N76" s="75"/>
      <c r="O76" s="75"/>
    </row>
    <row r="77" spans="1:15" s="15" customFormat="1" ht="16.5" customHeight="1">
      <c r="A77" s="33" t="s">
        <v>73</v>
      </c>
      <c r="B77" s="34" t="s">
        <v>138</v>
      </c>
      <c r="C77" s="35"/>
      <c r="D77" s="36"/>
      <c r="E77" s="35"/>
      <c r="F77" s="35"/>
      <c r="G77" s="37"/>
      <c r="H77" s="38"/>
      <c r="I77" s="14"/>
      <c r="J77" s="14"/>
      <c r="K77" s="14"/>
      <c r="L77" s="14"/>
      <c r="M77" s="14"/>
      <c r="N77" s="75"/>
      <c r="O77" s="75"/>
    </row>
    <row r="78" spans="1:15" s="15" customFormat="1" ht="17.25" customHeight="1">
      <c r="A78" s="16" t="s">
        <v>74</v>
      </c>
      <c r="B78" s="17" t="s">
        <v>139</v>
      </c>
      <c r="C78" s="18" t="s">
        <v>89</v>
      </c>
      <c r="D78" s="19">
        <v>280</v>
      </c>
      <c r="E78" s="20">
        <v>150</v>
      </c>
      <c r="F78" s="20"/>
      <c r="G78" s="21">
        <f>(F78+E78)*D78</f>
        <v>42000</v>
      </c>
      <c r="H78" s="22" t="s">
        <v>18</v>
      </c>
      <c r="I78" s="14"/>
      <c r="J78" s="14"/>
      <c r="K78" s="14"/>
      <c r="L78" s="14"/>
      <c r="M78" s="14"/>
      <c r="N78" s="75"/>
      <c r="O78" s="75"/>
    </row>
    <row r="79" spans="1:15" s="15" customFormat="1">
      <c r="A79" s="16" t="s">
        <v>75</v>
      </c>
      <c r="B79" s="17" t="s">
        <v>140</v>
      </c>
      <c r="C79" s="18" t="s">
        <v>89</v>
      </c>
      <c r="D79" s="19">
        <f>D78</f>
        <v>280</v>
      </c>
      <c r="E79" s="20">
        <v>120</v>
      </c>
      <c r="F79" s="20"/>
      <c r="G79" s="21">
        <f t="shared" ref="G79" si="8">(F79+E79)*D79</f>
        <v>33600</v>
      </c>
      <c r="H79" s="22"/>
      <c r="I79" s="14"/>
      <c r="J79" s="14"/>
      <c r="K79" s="14"/>
      <c r="L79" s="14"/>
      <c r="M79" s="14"/>
      <c r="N79" s="75"/>
      <c r="O79" s="75"/>
    </row>
    <row r="80" spans="1:15" s="15" customFormat="1" ht="16.5" customHeight="1">
      <c r="A80" s="45"/>
      <c r="B80" s="46" t="s">
        <v>13</v>
      </c>
      <c r="C80" s="47"/>
      <c r="D80" s="48"/>
      <c r="E80" s="47"/>
      <c r="F80" s="47"/>
      <c r="G80" s="49">
        <f>SUM(G78:G79)</f>
        <v>75600</v>
      </c>
      <c r="H80" s="50"/>
      <c r="I80" s="14"/>
      <c r="J80" s="14"/>
      <c r="K80" s="14"/>
      <c r="L80" s="14"/>
      <c r="M80" s="14"/>
      <c r="N80" s="75"/>
      <c r="O80" s="75"/>
    </row>
    <row r="81" spans="1:15" s="15" customFormat="1" ht="16.5" customHeight="1">
      <c r="A81" s="33" t="s">
        <v>76</v>
      </c>
      <c r="B81" s="34" t="s">
        <v>15</v>
      </c>
      <c r="C81" s="35"/>
      <c r="D81" s="36"/>
      <c r="E81" s="35"/>
      <c r="F81" s="35"/>
      <c r="G81" s="37"/>
      <c r="H81" s="38"/>
      <c r="I81" s="14"/>
      <c r="J81" s="14"/>
      <c r="K81" s="14"/>
      <c r="L81" s="14"/>
      <c r="M81" s="14"/>
      <c r="N81" s="75"/>
      <c r="O81" s="75"/>
    </row>
    <row r="82" spans="1:15" s="15" customFormat="1">
      <c r="A82" s="16" t="s">
        <v>77</v>
      </c>
      <c r="B82" s="17" t="s">
        <v>141</v>
      </c>
      <c r="C82" s="18" t="s">
        <v>126</v>
      </c>
      <c r="D82" s="19">
        <f>D79*0.05</f>
        <v>14</v>
      </c>
      <c r="E82" s="20"/>
      <c r="F82" s="20">
        <v>900</v>
      </c>
      <c r="G82" s="21">
        <f t="shared" ref="G82:G83" si="9">(F82+E82)*D82</f>
        <v>12600</v>
      </c>
      <c r="H82" s="22"/>
      <c r="I82" s="14"/>
      <c r="J82" s="14"/>
      <c r="K82" s="14"/>
      <c r="L82" s="14"/>
      <c r="M82" s="14"/>
      <c r="N82" s="75"/>
      <c r="O82" s="75"/>
    </row>
    <row r="83" spans="1:15" s="15" customFormat="1">
      <c r="A83" s="16" t="s">
        <v>78</v>
      </c>
      <c r="B83" s="17" t="s">
        <v>142</v>
      </c>
      <c r="C83" s="18" t="s">
        <v>110</v>
      </c>
      <c r="D83" s="19">
        <f>D79*0.03</f>
        <v>8.4</v>
      </c>
      <c r="E83" s="20"/>
      <c r="F83" s="20">
        <v>50</v>
      </c>
      <c r="G83" s="21">
        <f t="shared" si="9"/>
        <v>420</v>
      </c>
      <c r="H83" s="22"/>
      <c r="I83" s="14"/>
      <c r="J83" s="14"/>
      <c r="K83" s="14"/>
      <c r="L83" s="14"/>
      <c r="M83" s="14"/>
      <c r="N83" s="75"/>
      <c r="O83" s="75"/>
    </row>
    <row r="84" spans="1:15" s="15" customFormat="1" ht="16.5" customHeight="1">
      <c r="A84" s="45"/>
      <c r="B84" s="46" t="s">
        <v>19</v>
      </c>
      <c r="C84" s="47"/>
      <c r="D84" s="48"/>
      <c r="E84" s="47"/>
      <c r="F84" s="47"/>
      <c r="G84" s="49">
        <f>SUM(G82:G83)</f>
        <v>13020</v>
      </c>
      <c r="H84" s="50"/>
      <c r="I84" s="14"/>
      <c r="J84" s="14"/>
      <c r="K84" s="14"/>
      <c r="L84" s="14"/>
      <c r="M84" s="14"/>
      <c r="N84" s="75"/>
      <c r="O84" s="75"/>
    </row>
    <row r="85" spans="1:15" s="24" customFormat="1">
      <c r="A85" s="51"/>
      <c r="B85" s="52" t="s">
        <v>80</v>
      </c>
      <c r="C85" s="38"/>
      <c r="D85" s="53"/>
      <c r="E85" s="54"/>
      <c r="F85" s="55"/>
      <c r="G85" s="36">
        <f>G11+G14+G21+G30+G36+G46+G49+G61+G68+G76+G80+G84</f>
        <v>1327906.1277173334</v>
      </c>
      <c r="H85" s="56"/>
      <c r="I85" s="76"/>
      <c r="J85" s="76"/>
      <c r="K85" s="76"/>
      <c r="L85" s="76"/>
      <c r="M85" s="76"/>
      <c r="N85" s="76"/>
      <c r="O85" s="76"/>
    </row>
    <row r="86" spans="1:15" s="24" customFormat="1" ht="14.4">
      <c r="A86" s="51"/>
      <c r="B86" s="52" t="s">
        <v>81</v>
      </c>
      <c r="C86" s="57">
        <v>7.0000000000000007E-2</v>
      </c>
      <c r="D86" s="58"/>
      <c r="E86" s="59"/>
      <c r="F86" s="60"/>
      <c r="G86" s="61">
        <f>G85*C86</f>
        <v>92953.428940213344</v>
      </c>
      <c r="H86" s="56"/>
      <c r="I86" s="76"/>
      <c r="J86" s="76"/>
      <c r="K86" s="76"/>
      <c r="L86" s="76"/>
      <c r="M86" s="76"/>
      <c r="N86" s="76"/>
      <c r="O86" s="76"/>
    </row>
    <row r="87" spans="1:15" s="24" customFormat="1" ht="14.4">
      <c r="A87" s="51"/>
      <c r="B87" s="52" t="s">
        <v>82</v>
      </c>
      <c r="C87" s="57">
        <v>0.02</v>
      </c>
      <c r="D87" s="58"/>
      <c r="E87" s="59"/>
      <c r="F87" s="60"/>
      <c r="G87" s="61">
        <f>G85*C87</f>
        <v>26558.122554346668</v>
      </c>
      <c r="H87" s="56"/>
      <c r="I87" s="76"/>
      <c r="J87" s="76"/>
      <c r="K87" s="76"/>
      <c r="L87" s="76"/>
      <c r="M87" s="76"/>
      <c r="N87" s="76"/>
      <c r="O87" s="76"/>
    </row>
    <row r="88" spans="1:15" s="26" customFormat="1">
      <c r="A88" s="68"/>
      <c r="B88" s="69" t="s">
        <v>83</v>
      </c>
      <c r="C88" s="70"/>
      <c r="D88" s="71"/>
      <c r="E88" s="72"/>
      <c r="F88" s="72"/>
      <c r="G88" s="71">
        <f>G85+G86+G87</f>
        <v>1447417.6792118934</v>
      </c>
      <c r="H88" s="69"/>
      <c r="I88" s="25"/>
      <c r="J88" s="25"/>
      <c r="K88" s="25"/>
      <c r="L88" s="25"/>
      <c r="M88" s="25"/>
      <c r="N88" s="77"/>
      <c r="O88" s="77"/>
    </row>
    <row r="89" spans="1:15" s="27" customFormat="1" ht="14.4">
      <c r="A89" s="62"/>
      <c r="B89" s="63" t="s">
        <v>84</v>
      </c>
      <c r="C89" s="64">
        <v>0.2</v>
      </c>
      <c r="D89" s="65"/>
      <c r="E89" s="66"/>
      <c r="F89" s="60"/>
      <c r="G89" s="61">
        <f>G88/120*20</f>
        <v>241236.27986864888</v>
      </c>
      <c r="H89" s="67"/>
      <c r="I89" s="78"/>
      <c r="J89" s="78"/>
      <c r="K89" s="78"/>
      <c r="L89" s="78"/>
      <c r="M89" s="78"/>
      <c r="N89" s="78"/>
      <c r="O89" s="78"/>
    </row>
    <row r="90" spans="1:15" s="83" customFormat="1" ht="14.4">
      <c r="A90" s="79"/>
      <c r="B90" s="80" t="s">
        <v>143</v>
      </c>
      <c r="C90" s="81"/>
      <c r="D90" s="82"/>
      <c r="G90" s="84">
        <f>G11+G21+G36+G49+G68+G80</f>
        <v>625395.82239999995</v>
      </c>
      <c r="H90" s="80"/>
      <c r="I90" s="85"/>
      <c r="J90" s="85"/>
      <c r="K90" s="85"/>
      <c r="L90" s="85"/>
      <c r="M90" s="85"/>
      <c r="N90" s="84"/>
      <c r="O90" s="84"/>
    </row>
    <row r="91" spans="1:15" s="83" customFormat="1" ht="14.4">
      <c r="A91" s="79"/>
      <c r="B91" s="80" t="s">
        <v>144</v>
      </c>
      <c r="C91" s="81"/>
      <c r="D91" s="82"/>
      <c r="G91" s="84">
        <f>G85-G90</f>
        <v>702510.30531733343</v>
      </c>
      <c r="H91" s="80"/>
      <c r="I91" s="85"/>
      <c r="J91" s="85"/>
      <c r="K91" s="85"/>
      <c r="L91" s="85"/>
      <c r="M91" s="85"/>
      <c r="N91" s="84"/>
      <c r="O91" s="84"/>
    </row>
  </sheetData>
  <mergeCells count="4">
    <mergeCell ref="A3:H3"/>
    <mergeCell ref="A4:H4"/>
    <mergeCell ref="A5:H5"/>
    <mergeCell ref="A6:H6"/>
  </mergeCells>
  <pageMargins left="0.51181102362204722" right="0.31496062992125984" top="0.35433070866141736" bottom="0.35433070866141736" header="0.31496062992125984" footer="0.31496062992125984"/>
  <pageSetup paperSize="9"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topLeftCell="A13" workbookViewId="0">
      <selection activeCell="D23" sqref="D23"/>
    </sheetView>
  </sheetViews>
  <sheetFormatPr defaultColWidth="8.6640625" defaultRowHeight="13.8"/>
  <cols>
    <col min="1" max="1" width="8.109375" style="28" customWidth="1"/>
    <col min="2" max="2" width="60.6640625" style="29" customWidth="1"/>
    <col min="3" max="3" width="10.44140625" style="30" customWidth="1"/>
    <col min="4" max="4" width="11.44140625" style="31" customWidth="1"/>
    <col min="5" max="5" width="13.109375" style="8" customWidth="1"/>
    <col min="6" max="6" width="14.33203125" style="8" customWidth="1"/>
    <col min="7" max="7" width="15.109375" style="32" customWidth="1"/>
    <col min="8" max="8" width="20.6640625" style="29" customWidth="1"/>
    <col min="9" max="9" width="15.109375" style="88" customWidth="1"/>
    <col min="10" max="13" width="15.109375" style="7" customWidth="1"/>
    <col min="14" max="15" width="15.109375" style="32" customWidth="1"/>
    <col min="16" max="16384" width="8.6640625" style="8"/>
  </cols>
  <sheetData>
    <row r="1" spans="1:15" s="6" customFormat="1" ht="16.5" customHeight="1">
      <c r="A1" s="1"/>
      <c r="B1" s="2"/>
      <c r="C1" s="3"/>
      <c r="D1" s="4"/>
      <c r="E1" s="4"/>
      <c r="F1" s="4"/>
      <c r="G1" s="5"/>
      <c r="H1" s="5" t="s">
        <v>85</v>
      </c>
      <c r="I1" s="87"/>
      <c r="J1" s="4"/>
      <c r="K1" s="4"/>
      <c r="L1" s="4"/>
      <c r="M1" s="4"/>
      <c r="N1" s="73"/>
      <c r="O1" s="73"/>
    </row>
    <row r="3" spans="1:15" ht="17.399999999999999">
      <c r="A3" s="98" t="s">
        <v>0</v>
      </c>
      <c r="B3" s="98"/>
      <c r="C3" s="98"/>
      <c r="D3" s="98"/>
      <c r="E3" s="98"/>
      <c r="F3" s="98"/>
      <c r="G3" s="98"/>
      <c r="H3" s="98"/>
    </row>
    <row r="4" spans="1:15">
      <c r="A4" s="99" t="s">
        <v>87</v>
      </c>
      <c r="B4" s="100"/>
      <c r="C4" s="100"/>
      <c r="D4" s="100"/>
      <c r="E4" s="100"/>
      <c r="F4" s="100"/>
      <c r="G4" s="100"/>
      <c r="H4" s="100"/>
    </row>
    <row r="5" spans="1:15">
      <c r="A5" s="99"/>
      <c r="B5" s="99"/>
      <c r="C5" s="99"/>
      <c r="D5" s="99"/>
      <c r="E5" s="99"/>
      <c r="F5" s="99"/>
      <c r="G5" s="99"/>
      <c r="H5" s="99"/>
    </row>
    <row r="6" spans="1:15" ht="21" customHeight="1">
      <c r="A6" s="101" t="s">
        <v>86</v>
      </c>
      <c r="B6" s="101"/>
      <c r="C6" s="101"/>
      <c r="D6" s="101"/>
      <c r="E6" s="101"/>
      <c r="F6" s="101"/>
      <c r="G6" s="101"/>
      <c r="H6" s="101"/>
    </row>
    <row r="7" spans="1:15" s="13" customFormat="1" ht="48.75" customHeight="1">
      <c r="A7" s="9" t="s">
        <v>1</v>
      </c>
      <c r="B7" s="10" t="s">
        <v>2</v>
      </c>
      <c r="C7" s="10" t="s">
        <v>3</v>
      </c>
      <c r="D7" s="11" t="s">
        <v>4</v>
      </c>
      <c r="E7" s="12" t="s">
        <v>5</v>
      </c>
      <c r="F7" s="12" t="s">
        <v>6</v>
      </c>
      <c r="G7" s="11" t="s">
        <v>7</v>
      </c>
      <c r="H7" s="10" t="s">
        <v>8</v>
      </c>
      <c r="I7" s="88"/>
      <c r="J7" s="7"/>
      <c r="K7" s="7"/>
      <c r="L7" s="7"/>
      <c r="M7" s="7"/>
      <c r="N7" s="74"/>
      <c r="O7" s="74"/>
    </row>
    <row r="8" spans="1:15" s="15" customFormat="1" ht="18" customHeight="1">
      <c r="A8" s="39"/>
      <c r="B8" s="40" t="s">
        <v>9</v>
      </c>
      <c r="C8" s="41"/>
      <c r="D8" s="42"/>
      <c r="E8" s="41"/>
      <c r="F8" s="41"/>
      <c r="G8" s="43"/>
      <c r="H8" s="44"/>
      <c r="I8" s="89"/>
      <c r="J8" s="14"/>
      <c r="K8" s="14"/>
      <c r="L8" s="14"/>
      <c r="M8" s="14"/>
      <c r="N8" s="75"/>
      <c r="O8" s="75"/>
    </row>
    <row r="9" spans="1:15" s="15" customFormat="1" ht="16.5" customHeight="1">
      <c r="A9" s="33" t="s">
        <v>10</v>
      </c>
      <c r="B9" s="34" t="s">
        <v>88</v>
      </c>
      <c r="C9" s="35"/>
      <c r="D9" s="36"/>
      <c r="E9" s="35"/>
      <c r="F9" s="35"/>
      <c r="G9" s="37"/>
      <c r="H9" s="38"/>
      <c r="I9" s="89"/>
      <c r="J9" s="14"/>
      <c r="K9" s="14"/>
      <c r="L9" s="14"/>
      <c r="M9" s="14"/>
      <c r="N9" s="75"/>
      <c r="O9" s="75"/>
    </row>
    <row r="10" spans="1:15" s="15" customFormat="1">
      <c r="A10" s="16" t="s">
        <v>11</v>
      </c>
      <c r="B10" s="17" t="s">
        <v>12</v>
      </c>
      <c r="C10" s="18" t="s">
        <v>89</v>
      </c>
      <c r="D10" s="19">
        <f>10*14+8*8+6*8+2*4+2*4+1.5*6</f>
        <v>277</v>
      </c>
      <c r="E10" s="20">
        <v>200</v>
      </c>
      <c r="F10" s="20"/>
      <c r="G10" s="21">
        <f>(F10+E10)*D10</f>
        <v>55400</v>
      </c>
      <c r="H10" s="22"/>
      <c r="I10" s="89"/>
      <c r="J10" s="14"/>
      <c r="K10" s="14"/>
      <c r="L10" s="14"/>
      <c r="M10" s="14"/>
      <c r="N10" s="75"/>
      <c r="O10" s="75"/>
    </row>
    <row r="11" spans="1:15" s="15" customFormat="1" ht="16.5" customHeight="1">
      <c r="A11" s="45"/>
      <c r="B11" s="46" t="s">
        <v>13</v>
      </c>
      <c r="C11" s="47"/>
      <c r="D11" s="48"/>
      <c r="E11" s="47"/>
      <c r="F11" s="47"/>
      <c r="G11" s="49">
        <f>SUM(G10:G10)</f>
        <v>55400</v>
      </c>
      <c r="H11" s="50"/>
      <c r="I11" s="89"/>
      <c r="J11" s="14"/>
      <c r="K11" s="14"/>
      <c r="L11" s="14"/>
      <c r="M11" s="14"/>
      <c r="N11" s="75"/>
      <c r="O11" s="75"/>
    </row>
    <row r="12" spans="1:15" s="15" customFormat="1" ht="16.5" customHeight="1">
      <c r="A12" s="33" t="s">
        <v>14</v>
      </c>
      <c r="B12" s="34" t="s">
        <v>15</v>
      </c>
      <c r="C12" s="35"/>
      <c r="D12" s="36"/>
      <c r="E12" s="35"/>
      <c r="F12" s="35"/>
      <c r="G12" s="37"/>
      <c r="H12" s="38"/>
      <c r="I12" s="89"/>
      <c r="J12" s="14"/>
      <c r="K12" s="14"/>
      <c r="L12" s="14"/>
      <c r="M12" s="14"/>
      <c r="N12" s="75"/>
      <c r="O12" s="75"/>
    </row>
    <row r="13" spans="1:15" s="15" customFormat="1" ht="16.5" customHeight="1">
      <c r="A13" s="16" t="s">
        <v>16</v>
      </c>
      <c r="B13" s="17" t="s">
        <v>145</v>
      </c>
      <c r="C13" s="18" t="s">
        <v>17</v>
      </c>
      <c r="D13" s="19">
        <v>20</v>
      </c>
      <c r="E13" s="20"/>
      <c r="F13" s="20">
        <f>D10*80/30</f>
        <v>738.66666666666663</v>
      </c>
      <c r="G13" s="21">
        <f>(F13+E13)*D13</f>
        <v>14773.333333333332</v>
      </c>
      <c r="H13" s="22" t="s">
        <v>18</v>
      </c>
      <c r="I13" s="89"/>
      <c r="J13" s="14"/>
      <c r="K13" s="14"/>
      <c r="L13" s="14"/>
      <c r="M13" s="14"/>
      <c r="N13" s="75"/>
      <c r="O13" s="75"/>
    </row>
    <row r="14" spans="1:15" s="15" customFormat="1" ht="16.5" customHeight="1">
      <c r="A14" s="45"/>
      <c r="B14" s="46" t="s">
        <v>19</v>
      </c>
      <c r="C14" s="47"/>
      <c r="D14" s="48"/>
      <c r="E14" s="47"/>
      <c r="F14" s="47"/>
      <c r="G14" s="49">
        <f>SUM(G13:G13)</f>
        <v>14773.333333333332</v>
      </c>
      <c r="H14" s="50"/>
      <c r="I14" s="89"/>
      <c r="J14" s="14"/>
      <c r="K14" s="14"/>
      <c r="L14" s="14"/>
      <c r="M14" s="14"/>
      <c r="N14" s="75"/>
      <c r="O14" s="75"/>
    </row>
    <row r="15" spans="1:15" s="15" customFormat="1" ht="16.5" customHeight="1">
      <c r="A15" s="33" t="s">
        <v>20</v>
      </c>
      <c r="B15" s="34" t="s">
        <v>79</v>
      </c>
      <c r="C15" s="35"/>
      <c r="D15" s="36"/>
      <c r="E15" s="35"/>
      <c r="F15" s="35"/>
      <c r="G15" s="37"/>
      <c r="H15" s="38"/>
      <c r="I15" s="89"/>
      <c r="J15" s="14"/>
      <c r="K15" s="14"/>
      <c r="L15" s="14"/>
      <c r="M15" s="14"/>
      <c r="N15" s="75"/>
      <c r="O15" s="75"/>
    </row>
    <row r="16" spans="1:15" s="15" customFormat="1" ht="17.25" customHeight="1">
      <c r="A16" s="16" t="s">
        <v>21</v>
      </c>
      <c r="B16" s="17" t="s">
        <v>90</v>
      </c>
      <c r="C16" s="18" t="s">
        <v>89</v>
      </c>
      <c r="D16" s="19">
        <f>14.22*7.45+14.22*3.3/2+2.05*0.4*4+7.25*7.534+5.84*7.43+1.79*3.82+3*4.2+1.5*7.45-(2.16*1.1+2.02*1.65*3+2.28*1.75*2+2.03*1.8*2+2.25*1.03+2.25*0.7)</f>
        <v>229.75200000000001</v>
      </c>
      <c r="E16" s="20">
        <v>1200</v>
      </c>
      <c r="F16" s="20"/>
      <c r="G16" s="21">
        <f t="shared" ref="G16:G20" si="0">(F16+E16)*D16</f>
        <v>275702.40000000002</v>
      </c>
      <c r="H16" s="22"/>
      <c r="I16" s="89"/>
      <c r="J16" s="14"/>
      <c r="K16" s="14"/>
      <c r="L16" s="14"/>
      <c r="M16" s="14"/>
      <c r="N16" s="75"/>
      <c r="O16" s="75"/>
    </row>
    <row r="17" spans="1:15" s="15" customFormat="1">
      <c r="A17" s="16" t="s">
        <v>22</v>
      </c>
      <c r="B17" s="17" t="s">
        <v>94</v>
      </c>
      <c r="C17" s="18" t="s">
        <v>89</v>
      </c>
      <c r="D17" s="19">
        <f>D16</f>
        <v>229.75200000000001</v>
      </c>
      <c r="E17" s="20">
        <v>200</v>
      </c>
      <c r="F17" s="20"/>
      <c r="G17" s="21">
        <f t="shared" si="0"/>
        <v>45950.400000000001</v>
      </c>
      <c r="H17" s="22"/>
      <c r="I17" s="89"/>
      <c r="J17" s="14"/>
      <c r="K17" s="14"/>
      <c r="L17" s="14"/>
      <c r="M17" s="14"/>
      <c r="N17" s="75"/>
      <c r="O17" s="75"/>
    </row>
    <row r="18" spans="1:15" s="15" customFormat="1">
      <c r="A18" s="16" t="s">
        <v>23</v>
      </c>
      <c r="B18" s="17" t="s">
        <v>96</v>
      </c>
      <c r="C18" s="18" t="s">
        <v>89</v>
      </c>
      <c r="D18" s="19">
        <v>9</v>
      </c>
      <c r="E18" s="20">
        <v>500</v>
      </c>
      <c r="F18" s="20"/>
      <c r="G18" s="21">
        <f t="shared" si="0"/>
        <v>4500</v>
      </c>
      <c r="H18" s="22" t="s">
        <v>18</v>
      </c>
      <c r="I18" s="89"/>
      <c r="J18" s="14"/>
      <c r="K18" s="14"/>
      <c r="L18" s="14"/>
      <c r="M18" s="14"/>
      <c r="N18" s="75"/>
      <c r="O18" s="75"/>
    </row>
    <row r="19" spans="1:15" s="15" customFormat="1">
      <c r="A19" s="16" t="s">
        <v>24</v>
      </c>
      <c r="B19" s="17" t="s">
        <v>97</v>
      </c>
      <c r="C19" s="18" t="s">
        <v>89</v>
      </c>
      <c r="D19" s="19">
        <f>D18</f>
        <v>9</v>
      </c>
      <c r="E19" s="20">
        <v>120</v>
      </c>
      <c r="F19" s="20"/>
      <c r="G19" s="21">
        <f t="shared" si="0"/>
        <v>1080</v>
      </c>
      <c r="H19" s="22"/>
      <c r="I19" s="89"/>
      <c r="J19" s="14"/>
      <c r="K19" s="14"/>
      <c r="L19" s="14"/>
      <c r="M19" s="14"/>
      <c r="N19" s="75"/>
      <c r="O19" s="75"/>
    </row>
    <row r="20" spans="1:15" s="15" customFormat="1" ht="15" customHeight="1">
      <c r="A20" s="16" t="s">
        <v>25</v>
      </c>
      <c r="B20" s="17" t="s">
        <v>95</v>
      </c>
      <c r="C20" s="18" t="s">
        <v>89</v>
      </c>
      <c r="D20" s="19">
        <f>D19</f>
        <v>9</v>
      </c>
      <c r="E20" s="20">
        <v>300</v>
      </c>
      <c r="F20" s="20"/>
      <c r="G20" s="21">
        <f t="shared" si="0"/>
        <v>2700</v>
      </c>
      <c r="H20" s="22"/>
      <c r="I20" s="89"/>
      <c r="J20" s="14"/>
      <c r="K20" s="14"/>
      <c r="L20" s="14"/>
      <c r="M20" s="14"/>
      <c r="N20" s="75"/>
      <c r="O20" s="75"/>
    </row>
    <row r="21" spans="1:15" s="15" customFormat="1" ht="16.5" customHeight="1">
      <c r="A21" s="45"/>
      <c r="B21" s="46" t="s">
        <v>13</v>
      </c>
      <c r="C21" s="47"/>
      <c r="D21" s="48"/>
      <c r="E21" s="47"/>
      <c r="F21" s="47"/>
      <c r="G21" s="49">
        <f>SUM(G16:G20)</f>
        <v>329932.80000000005</v>
      </c>
      <c r="H21" s="50"/>
      <c r="I21" s="89"/>
      <c r="J21" s="14"/>
      <c r="K21" s="14"/>
      <c r="L21" s="14"/>
      <c r="M21" s="14"/>
      <c r="N21" s="75"/>
      <c r="O21" s="75"/>
    </row>
    <row r="22" spans="1:15" s="15" customFormat="1" ht="16.5" customHeight="1">
      <c r="A22" s="33" t="s">
        <v>26</v>
      </c>
      <c r="B22" s="34" t="s">
        <v>15</v>
      </c>
      <c r="C22" s="35"/>
      <c r="D22" s="36"/>
      <c r="E22" s="35"/>
      <c r="F22" s="35"/>
      <c r="G22" s="37"/>
      <c r="H22" s="38"/>
      <c r="I22" s="89"/>
      <c r="J22" s="14">
        <v>379090.80000000005</v>
      </c>
      <c r="K22" s="14">
        <f>G23+G24</f>
        <v>426425</v>
      </c>
      <c r="L22" s="97">
        <f>K22-J22</f>
        <v>47334.199999999953</v>
      </c>
      <c r="M22" s="89" t="s">
        <v>154</v>
      </c>
      <c r="N22" s="75"/>
      <c r="O22" s="75"/>
    </row>
    <row r="23" spans="1:15" s="15" customFormat="1" ht="27.6">
      <c r="A23" s="16" t="s">
        <v>27</v>
      </c>
      <c r="B23" s="17" t="s">
        <v>91</v>
      </c>
      <c r="C23" s="18" t="s">
        <v>44</v>
      </c>
      <c r="D23" s="19">
        <v>371</v>
      </c>
      <c r="E23" s="20"/>
      <c r="F23" s="20">
        <v>975</v>
      </c>
      <c r="G23" s="21">
        <f t="shared" ref="G23:G30" si="1">(F23+E23)*D23</f>
        <v>361725</v>
      </c>
      <c r="H23" s="22" t="s">
        <v>18</v>
      </c>
      <c r="I23" s="89"/>
      <c r="J23" s="14" t="s">
        <v>150</v>
      </c>
      <c r="K23" s="14" t="s">
        <v>151</v>
      </c>
      <c r="L23" s="14">
        <f>240.7022/0.65</f>
        <v>370.31107692307694</v>
      </c>
      <c r="M23" s="14"/>
      <c r="N23" s="75"/>
      <c r="O23" s="75"/>
    </row>
    <row r="24" spans="1:15" s="15" customFormat="1">
      <c r="A24" s="16"/>
      <c r="B24" s="17" t="s">
        <v>149</v>
      </c>
      <c r="C24" s="18" t="s">
        <v>44</v>
      </c>
      <c r="D24" s="19">
        <v>50</v>
      </c>
      <c r="E24" s="20"/>
      <c r="F24" s="20">
        <v>1294</v>
      </c>
      <c r="G24" s="21">
        <f t="shared" si="1"/>
        <v>64700</v>
      </c>
      <c r="H24" s="22"/>
      <c r="I24" s="89"/>
      <c r="J24" s="14">
        <f>0.37*0.65</f>
        <v>0.24049999999999999</v>
      </c>
      <c r="K24" s="14">
        <v>1294</v>
      </c>
      <c r="L24" s="14" t="s">
        <v>152</v>
      </c>
      <c r="M24" s="14">
        <f>(7.45*2+3.05*3+4.2+3.23)/0.65</f>
        <v>48.430769230769222</v>
      </c>
      <c r="N24" s="75">
        <f>J24*50</f>
        <v>12.025</v>
      </c>
      <c r="O24" s="75"/>
    </row>
    <row r="25" spans="1:15" s="15" customFormat="1" ht="14.4">
      <c r="A25" s="16" t="s">
        <v>28</v>
      </c>
      <c r="B25" s="96" t="s">
        <v>148</v>
      </c>
      <c r="C25" s="18" t="s">
        <v>44</v>
      </c>
      <c r="D25" s="23">
        <f>D16*8</f>
        <v>1838.0160000000001</v>
      </c>
      <c r="E25" s="20"/>
      <c r="F25" s="95">
        <v>49.1</v>
      </c>
      <c r="G25" s="21">
        <f t="shared" si="1"/>
        <v>90246.585600000006</v>
      </c>
      <c r="H25" s="96" t="s">
        <v>153</v>
      </c>
      <c r="I25" s="90" t="s">
        <v>147</v>
      </c>
      <c r="J25" s="14"/>
      <c r="K25" s="14"/>
      <c r="L25" s="14"/>
      <c r="M25" s="14"/>
      <c r="N25" s="75"/>
      <c r="O25" s="75"/>
    </row>
    <row r="26" spans="1:15" s="15" customFormat="1">
      <c r="A26" s="16" t="s">
        <v>29</v>
      </c>
      <c r="B26" s="17" t="s">
        <v>93</v>
      </c>
      <c r="C26" s="18" t="s">
        <v>44</v>
      </c>
      <c r="D26" s="23">
        <f>D16*3/25</f>
        <v>27.570240000000002</v>
      </c>
      <c r="E26" s="20"/>
      <c r="F26" s="20">
        <v>1225</v>
      </c>
      <c r="G26" s="21">
        <f t="shared" si="1"/>
        <v>33773.544000000002</v>
      </c>
      <c r="H26" s="22" t="s">
        <v>92</v>
      </c>
      <c r="I26" s="89"/>
      <c r="J26" s="14"/>
      <c r="K26" s="14"/>
      <c r="L26" s="14"/>
      <c r="M26" s="14"/>
      <c r="N26" s="75"/>
      <c r="O26" s="75"/>
    </row>
    <row r="27" spans="1:15" s="15" customFormat="1">
      <c r="A27" s="16" t="s">
        <v>30</v>
      </c>
      <c r="B27" s="17" t="s">
        <v>98</v>
      </c>
      <c r="C27" s="18" t="s">
        <v>44</v>
      </c>
      <c r="D27" s="23">
        <f>D18*8/25</f>
        <v>2.88</v>
      </c>
      <c r="E27" s="20"/>
      <c r="F27" s="20">
        <v>280</v>
      </c>
      <c r="G27" s="21">
        <f t="shared" si="1"/>
        <v>806.4</v>
      </c>
      <c r="H27" s="22" t="s">
        <v>92</v>
      </c>
      <c r="I27" s="89"/>
      <c r="J27" s="14"/>
      <c r="K27" s="14"/>
      <c r="L27" s="14"/>
      <c r="M27" s="14"/>
      <c r="N27" s="75"/>
      <c r="O27" s="75"/>
    </row>
    <row r="28" spans="1:15" s="15" customFormat="1">
      <c r="A28" s="16" t="s">
        <v>31</v>
      </c>
      <c r="B28" s="17" t="s">
        <v>99</v>
      </c>
      <c r="C28" s="18" t="s">
        <v>89</v>
      </c>
      <c r="D28" s="86">
        <f>D18*1.1</f>
        <v>9.9</v>
      </c>
      <c r="E28" s="20"/>
      <c r="F28" s="20">
        <v>147</v>
      </c>
      <c r="G28" s="21">
        <f t="shared" si="1"/>
        <v>1455.3</v>
      </c>
      <c r="H28" s="22"/>
      <c r="I28" s="89"/>
      <c r="J28" s="14"/>
      <c r="K28" s="14"/>
      <c r="L28" s="14"/>
      <c r="M28" s="14"/>
      <c r="N28" s="75"/>
      <c r="O28" s="75"/>
    </row>
    <row r="29" spans="1:15" s="15" customFormat="1">
      <c r="A29" s="16" t="s">
        <v>32</v>
      </c>
      <c r="B29" s="17" t="s">
        <v>100</v>
      </c>
      <c r="C29" s="18" t="s">
        <v>44</v>
      </c>
      <c r="D29" s="19">
        <f>D18*0.4/10</f>
        <v>0.36</v>
      </c>
      <c r="E29" s="20"/>
      <c r="F29" s="20">
        <v>500</v>
      </c>
      <c r="G29" s="21">
        <f t="shared" si="1"/>
        <v>180</v>
      </c>
      <c r="H29" s="22"/>
      <c r="I29" s="89"/>
      <c r="J29" s="14"/>
      <c r="K29" s="14"/>
      <c r="L29" s="14"/>
      <c r="M29" s="14"/>
      <c r="N29" s="75"/>
      <c r="O29" s="75"/>
    </row>
    <row r="30" spans="1:15" s="15" customFormat="1">
      <c r="A30" s="16" t="s">
        <v>33</v>
      </c>
      <c r="B30" s="17" t="s">
        <v>101</v>
      </c>
      <c r="C30" s="18" t="s">
        <v>44</v>
      </c>
      <c r="D30" s="86">
        <f>D20*0.35/2.5</f>
        <v>1.26</v>
      </c>
      <c r="E30" s="20"/>
      <c r="F30" s="20">
        <v>181</v>
      </c>
      <c r="G30" s="21">
        <f t="shared" si="1"/>
        <v>228.06</v>
      </c>
      <c r="H30" s="22"/>
      <c r="I30" s="89"/>
      <c r="J30" s="14"/>
      <c r="K30" s="14"/>
      <c r="L30" s="14"/>
      <c r="M30" s="14"/>
      <c r="N30" s="75"/>
      <c r="O30" s="75"/>
    </row>
    <row r="31" spans="1:15" s="15" customFormat="1" ht="16.5" customHeight="1">
      <c r="A31" s="45"/>
      <c r="B31" s="46" t="s">
        <v>19</v>
      </c>
      <c r="C31" s="47"/>
      <c r="D31" s="48"/>
      <c r="E31" s="47"/>
      <c r="F31" s="47"/>
      <c r="G31" s="49">
        <f>SUM(G23:G30)</f>
        <v>553114.88960000011</v>
      </c>
      <c r="H31" s="50"/>
      <c r="I31" s="89"/>
      <c r="J31" s="14"/>
      <c r="K31" s="14"/>
      <c r="L31" s="14"/>
      <c r="M31" s="14"/>
      <c r="N31" s="75"/>
      <c r="O31" s="75"/>
    </row>
    <row r="32" spans="1:15" s="15" customFormat="1" ht="16.5" customHeight="1">
      <c r="A32" s="33" t="s">
        <v>34</v>
      </c>
      <c r="B32" s="34" t="s">
        <v>111</v>
      </c>
      <c r="C32" s="35"/>
      <c r="D32" s="36"/>
      <c r="E32" s="35"/>
      <c r="F32" s="35"/>
      <c r="G32" s="37"/>
      <c r="H32" s="38"/>
      <c r="I32" s="89"/>
      <c r="J32" s="14"/>
      <c r="K32" s="14"/>
      <c r="L32" s="14"/>
      <c r="M32" s="14"/>
      <c r="N32" s="75"/>
      <c r="O32" s="75"/>
    </row>
    <row r="33" spans="1:15" s="15" customFormat="1" ht="17.25" customHeight="1">
      <c r="A33" s="16" t="s">
        <v>35</v>
      </c>
      <c r="B33" s="17" t="s">
        <v>102</v>
      </c>
      <c r="C33" s="18" t="s">
        <v>89</v>
      </c>
      <c r="D33" s="19">
        <f>1.4*(7.534+8.84*2+5.84)</f>
        <v>43.475599999999993</v>
      </c>
      <c r="E33" s="20">
        <v>600</v>
      </c>
      <c r="F33" s="20"/>
      <c r="G33" s="21">
        <f>(F33+E33)*D33</f>
        <v>26085.359999999997</v>
      </c>
      <c r="H33" s="22"/>
      <c r="I33" s="89"/>
      <c r="J33" s="14"/>
      <c r="K33" s="14"/>
      <c r="L33" s="14"/>
      <c r="M33" s="14"/>
      <c r="N33" s="75"/>
      <c r="O33" s="75"/>
    </row>
    <row r="34" spans="1:15" s="15" customFormat="1">
      <c r="A34" s="16" t="s">
        <v>36</v>
      </c>
      <c r="B34" s="17" t="s">
        <v>103</v>
      </c>
      <c r="C34" s="18" t="s">
        <v>89</v>
      </c>
      <c r="D34" s="19">
        <f>1.525*2.534-0.4*0.4+0.6*1.2*2</f>
        <v>5.1443499999999993</v>
      </c>
      <c r="E34" s="20">
        <f>E18*1.2</f>
        <v>600</v>
      </c>
      <c r="F34" s="20"/>
      <c r="G34" s="21">
        <f>(F34+E34)*D34</f>
        <v>3086.6099999999997</v>
      </c>
      <c r="H34" s="22"/>
      <c r="I34" s="89"/>
      <c r="J34" s="14"/>
      <c r="K34" s="14"/>
      <c r="L34" s="14"/>
      <c r="M34" s="14"/>
      <c r="N34" s="75"/>
      <c r="O34" s="75"/>
    </row>
    <row r="35" spans="1:15" s="15" customFormat="1" ht="16.5" customHeight="1">
      <c r="A35" s="16" t="s">
        <v>37</v>
      </c>
      <c r="B35" s="17" t="s">
        <v>104</v>
      </c>
      <c r="C35" s="18" t="s">
        <v>89</v>
      </c>
      <c r="D35" s="19">
        <f>D34</f>
        <v>5.1443499999999993</v>
      </c>
      <c r="E35" s="20">
        <f>E19*1.2</f>
        <v>144</v>
      </c>
      <c r="F35" s="20"/>
      <c r="G35" s="21">
        <f>(F35+E35)*D35</f>
        <v>740.78639999999996</v>
      </c>
      <c r="H35" s="22"/>
      <c r="I35" s="89"/>
      <c r="J35" s="14"/>
      <c r="K35" s="14"/>
      <c r="L35" s="14"/>
      <c r="M35" s="14"/>
      <c r="N35" s="75"/>
      <c r="O35" s="75"/>
    </row>
    <row r="36" spans="1:15" s="15" customFormat="1">
      <c r="A36" s="16" t="s">
        <v>36</v>
      </c>
      <c r="B36" s="17" t="s">
        <v>105</v>
      </c>
      <c r="C36" s="18" t="s">
        <v>89</v>
      </c>
      <c r="D36" s="19">
        <f>D35</f>
        <v>5.1443499999999993</v>
      </c>
      <c r="E36" s="20">
        <f>E20*1.2</f>
        <v>360</v>
      </c>
      <c r="F36" s="20"/>
      <c r="G36" s="21">
        <f>(F36+E36)*D36</f>
        <v>1851.9659999999997</v>
      </c>
      <c r="H36" s="22"/>
      <c r="I36" s="89"/>
      <c r="J36" s="14"/>
      <c r="K36" s="14"/>
      <c r="L36" s="14"/>
      <c r="M36" s="14"/>
      <c r="N36" s="75"/>
      <c r="O36" s="75"/>
    </row>
    <row r="37" spans="1:15" s="15" customFormat="1" ht="16.5" customHeight="1">
      <c r="A37" s="45"/>
      <c r="B37" s="46" t="s">
        <v>13</v>
      </c>
      <c r="C37" s="47"/>
      <c r="D37" s="48"/>
      <c r="E37" s="47"/>
      <c r="F37" s="47"/>
      <c r="G37" s="49">
        <f>SUM(G33:G36)</f>
        <v>31764.722399999999</v>
      </c>
      <c r="H37" s="50"/>
      <c r="I37" s="89"/>
      <c r="J37" s="14"/>
      <c r="K37" s="14"/>
      <c r="L37" s="14"/>
      <c r="M37" s="14"/>
      <c r="N37" s="75"/>
      <c r="O37" s="75"/>
    </row>
    <row r="38" spans="1:15" s="15" customFormat="1" ht="16.5" customHeight="1">
      <c r="A38" s="33" t="s">
        <v>38</v>
      </c>
      <c r="B38" s="34" t="s">
        <v>15</v>
      </c>
      <c r="C38" s="35"/>
      <c r="D38" s="36"/>
      <c r="E38" s="35"/>
      <c r="F38" s="35"/>
      <c r="G38" s="37"/>
      <c r="H38" s="38"/>
      <c r="I38" s="89"/>
      <c r="J38" s="14"/>
      <c r="K38" s="14"/>
      <c r="L38" s="14"/>
      <c r="M38" s="14"/>
      <c r="N38" s="75"/>
      <c r="O38" s="75"/>
    </row>
    <row r="39" spans="1:15" s="15" customFormat="1">
      <c r="A39" s="16" t="s">
        <v>39</v>
      </c>
      <c r="B39" s="17" t="s">
        <v>107</v>
      </c>
      <c r="C39" s="18" t="s">
        <v>44</v>
      </c>
      <c r="D39" s="19">
        <v>155</v>
      </c>
      <c r="E39" s="20"/>
      <c r="F39" s="20">
        <v>487</v>
      </c>
      <c r="G39" s="21">
        <f t="shared" ref="G39:G46" si="2">(F39+E39)*D39</f>
        <v>75485</v>
      </c>
      <c r="H39" s="22"/>
      <c r="I39" s="89"/>
      <c r="J39" s="14"/>
      <c r="K39" s="14"/>
      <c r="L39" s="14"/>
      <c r="M39" s="14"/>
      <c r="N39" s="75"/>
      <c r="O39" s="75"/>
    </row>
    <row r="40" spans="1:15" s="15" customFormat="1">
      <c r="A40" s="16" t="s">
        <v>40</v>
      </c>
      <c r="B40" s="17" t="s">
        <v>106</v>
      </c>
      <c r="C40" s="18" t="s">
        <v>44</v>
      </c>
      <c r="D40" s="23">
        <v>26</v>
      </c>
      <c r="E40" s="20"/>
      <c r="F40" s="20">
        <v>137</v>
      </c>
      <c r="G40" s="21">
        <f t="shared" si="2"/>
        <v>3562</v>
      </c>
      <c r="H40" s="22"/>
      <c r="I40" s="89"/>
      <c r="J40" s="14"/>
      <c r="K40" s="14"/>
      <c r="L40" s="14"/>
      <c r="M40" s="14"/>
      <c r="N40" s="75"/>
      <c r="O40" s="75"/>
    </row>
    <row r="41" spans="1:15" s="15" customFormat="1">
      <c r="A41" s="16" t="s">
        <v>41</v>
      </c>
      <c r="B41" s="17" t="s">
        <v>108</v>
      </c>
      <c r="C41" s="18" t="s">
        <v>44</v>
      </c>
      <c r="D41" s="19">
        <v>25</v>
      </c>
      <c r="E41" s="20"/>
      <c r="F41" s="20">
        <v>471</v>
      </c>
      <c r="G41" s="21">
        <f t="shared" si="2"/>
        <v>11775</v>
      </c>
      <c r="H41" s="22"/>
      <c r="I41" s="89"/>
      <c r="J41" s="14"/>
      <c r="K41" s="14"/>
      <c r="L41" s="14"/>
      <c r="M41" s="14"/>
      <c r="N41" s="75"/>
      <c r="O41" s="75"/>
    </row>
    <row r="42" spans="1:15" s="15" customFormat="1">
      <c r="A42" s="16" t="s">
        <v>42</v>
      </c>
      <c r="B42" s="17" t="s">
        <v>109</v>
      </c>
      <c r="C42" s="18" t="s">
        <v>110</v>
      </c>
      <c r="D42" s="19">
        <v>4</v>
      </c>
      <c r="E42" s="20"/>
      <c r="F42" s="20">
        <v>330</v>
      </c>
      <c r="G42" s="21">
        <f t="shared" si="2"/>
        <v>1320</v>
      </c>
      <c r="H42" s="22"/>
      <c r="I42" s="89"/>
      <c r="J42" s="14"/>
      <c r="K42" s="14"/>
      <c r="L42" s="14"/>
      <c r="M42" s="14"/>
      <c r="N42" s="75"/>
      <c r="O42" s="75"/>
    </row>
    <row r="43" spans="1:15" s="15" customFormat="1">
      <c r="A43" s="16" t="s">
        <v>43</v>
      </c>
      <c r="B43" s="17" t="s">
        <v>98</v>
      </c>
      <c r="C43" s="18" t="s">
        <v>44</v>
      </c>
      <c r="D43" s="23">
        <f>D35*8/25</f>
        <v>1.6461919999999999</v>
      </c>
      <c r="E43" s="20"/>
      <c r="F43" s="20">
        <v>280</v>
      </c>
      <c r="G43" s="21">
        <f t="shared" si="2"/>
        <v>460.93375999999995</v>
      </c>
      <c r="H43" s="22" t="s">
        <v>92</v>
      </c>
      <c r="I43" s="89"/>
      <c r="J43" s="14"/>
      <c r="K43" s="14"/>
      <c r="L43" s="14"/>
      <c r="M43" s="14"/>
      <c r="N43" s="75"/>
      <c r="O43" s="75"/>
    </row>
    <row r="44" spans="1:15" s="15" customFormat="1" ht="17.25" customHeight="1">
      <c r="A44" s="16" t="s">
        <v>45</v>
      </c>
      <c r="B44" s="17" t="s">
        <v>99</v>
      </c>
      <c r="C44" s="18" t="s">
        <v>89</v>
      </c>
      <c r="D44" s="86">
        <f>D35*1.1</f>
        <v>5.658785</v>
      </c>
      <c r="E44" s="20"/>
      <c r="F44" s="20">
        <v>147</v>
      </c>
      <c r="G44" s="21">
        <f t="shared" si="2"/>
        <v>831.84139500000003</v>
      </c>
      <c r="H44" s="22"/>
      <c r="I44" s="89"/>
      <c r="J44" s="14"/>
      <c r="K44" s="14"/>
      <c r="L44" s="14"/>
      <c r="M44" s="14"/>
      <c r="N44" s="75"/>
      <c r="O44" s="75"/>
    </row>
    <row r="45" spans="1:15" s="15" customFormat="1">
      <c r="A45" s="16" t="s">
        <v>46</v>
      </c>
      <c r="B45" s="17" t="s">
        <v>100</v>
      </c>
      <c r="C45" s="18" t="s">
        <v>44</v>
      </c>
      <c r="D45" s="19">
        <f>D35*0.4/10</f>
        <v>0.20577399999999998</v>
      </c>
      <c r="E45" s="20"/>
      <c r="F45" s="20">
        <v>500</v>
      </c>
      <c r="G45" s="21">
        <f t="shared" si="2"/>
        <v>102.88699999999999</v>
      </c>
      <c r="H45" s="22"/>
      <c r="I45" s="89"/>
      <c r="J45" s="14"/>
      <c r="K45" s="14"/>
      <c r="L45" s="14"/>
      <c r="M45" s="14"/>
      <c r="N45" s="75"/>
      <c r="O45" s="75"/>
    </row>
    <row r="46" spans="1:15" s="15" customFormat="1">
      <c r="A46" s="16" t="s">
        <v>47</v>
      </c>
      <c r="B46" s="17" t="s">
        <v>101</v>
      </c>
      <c r="C46" s="18" t="s">
        <v>44</v>
      </c>
      <c r="D46" s="86">
        <f>D36*0.35/2.5</f>
        <v>0.72020899999999988</v>
      </c>
      <c r="E46" s="20"/>
      <c r="F46" s="20">
        <v>181</v>
      </c>
      <c r="G46" s="21">
        <f t="shared" si="2"/>
        <v>130.35782899999998</v>
      </c>
      <c r="H46" s="22"/>
      <c r="I46" s="89"/>
      <c r="J46" s="14"/>
      <c r="K46" s="14"/>
      <c r="L46" s="14"/>
      <c r="M46" s="14"/>
      <c r="N46" s="75"/>
      <c r="O46" s="75"/>
    </row>
    <row r="47" spans="1:15" s="15" customFormat="1" ht="16.5" customHeight="1">
      <c r="A47" s="45"/>
      <c r="B47" s="46" t="s">
        <v>19</v>
      </c>
      <c r="C47" s="47"/>
      <c r="D47" s="48"/>
      <c r="E47" s="47"/>
      <c r="F47" s="47"/>
      <c r="G47" s="49">
        <f>SUM(G39:G46)</f>
        <v>93668.019983999999</v>
      </c>
      <c r="H47" s="50"/>
      <c r="I47" s="89"/>
      <c r="J47" s="14"/>
      <c r="K47" s="14"/>
      <c r="L47" s="14"/>
      <c r="M47" s="14"/>
      <c r="N47" s="75"/>
      <c r="O47" s="75"/>
    </row>
    <row r="48" spans="1:15" s="15" customFormat="1" ht="16.5" customHeight="1">
      <c r="A48" s="33" t="s">
        <v>48</v>
      </c>
      <c r="B48" s="34" t="s">
        <v>112</v>
      </c>
      <c r="C48" s="35"/>
      <c r="D48" s="36"/>
      <c r="E48" s="35"/>
      <c r="F48" s="35"/>
      <c r="G48" s="37"/>
      <c r="H48" s="38"/>
      <c r="I48" s="89"/>
      <c r="J48" s="14"/>
      <c r="K48" s="14"/>
      <c r="L48" s="14"/>
      <c r="M48" s="14"/>
      <c r="N48" s="75"/>
      <c r="O48" s="75"/>
    </row>
    <row r="49" spans="1:15" s="15" customFormat="1" ht="17.25" customHeight="1">
      <c r="A49" s="16" t="s">
        <v>49</v>
      </c>
      <c r="B49" s="17" t="s">
        <v>114</v>
      </c>
      <c r="C49" s="18" t="s">
        <v>113</v>
      </c>
      <c r="D49" s="19">
        <f>(7.534+5.84)+(1.8+3.8+3.4+1+4.2+3.2+3+3)</f>
        <v>36.774000000000001</v>
      </c>
      <c r="E49" s="20"/>
      <c r="F49" s="20">
        <v>450</v>
      </c>
      <c r="G49" s="21">
        <f>(F49+E49)*D49</f>
        <v>16548.3</v>
      </c>
      <c r="H49" s="22"/>
      <c r="I49" s="89"/>
      <c r="J49" s="14"/>
      <c r="K49" s="14"/>
      <c r="L49" s="14"/>
      <c r="M49" s="14"/>
      <c r="N49" s="75"/>
      <c r="O49" s="75"/>
    </row>
    <row r="50" spans="1:15" s="15" customFormat="1" ht="16.5" customHeight="1">
      <c r="A50" s="45"/>
      <c r="B50" s="46" t="s">
        <v>13</v>
      </c>
      <c r="C50" s="47"/>
      <c r="D50" s="48"/>
      <c r="E50" s="47"/>
      <c r="F50" s="47"/>
      <c r="G50" s="49">
        <f>SUM(G49:G49)</f>
        <v>16548.3</v>
      </c>
      <c r="H50" s="50"/>
      <c r="I50" s="89"/>
      <c r="J50" s="14"/>
      <c r="K50" s="14"/>
      <c r="L50" s="14"/>
      <c r="M50" s="14"/>
      <c r="N50" s="75"/>
      <c r="O50" s="75"/>
    </row>
    <row r="51" spans="1:15" s="15" customFormat="1" ht="16.5" customHeight="1">
      <c r="A51" s="33" t="s">
        <v>50</v>
      </c>
      <c r="B51" s="34" t="s">
        <v>15</v>
      </c>
      <c r="C51" s="35"/>
      <c r="D51" s="36"/>
      <c r="E51" s="35"/>
      <c r="F51" s="35"/>
      <c r="G51" s="37"/>
      <c r="H51" s="38"/>
      <c r="I51" s="89"/>
      <c r="J51" s="14"/>
      <c r="K51" s="14"/>
      <c r="L51" s="14"/>
      <c r="M51" s="14"/>
      <c r="N51" s="75"/>
      <c r="O51" s="75"/>
    </row>
    <row r="52" spans="1:15" s="15" customFormat="1">
      <c r="A52" s="16" t="s">
        <v>51</v>
      </c>
      <c r="B52" s="17" t="s">
        <v>117</v>
      </c>
      <c r="C52" s="18" t="s">
        <v>44</v>
      </c>
      <c r="D52" s="19">
        <v>5</v>
      </c>
      <c r="E52" s="20"/>
      <c r="F52" s="20">
        <v>1128</v>
      </c>
      <c r="G52" s="21">
        <f t="shared" ref="G52:G61" si="3">(F52+E52)*D52</f>
        <v>5640</v>
      </c>
      <c r="H52" s="22"/>
      <c r="I52" s="89"/>
      <c r="J52" s="14"/>
      <c r="K52" s="14"/>
      <c r="L52" s="14"/>
      <c r="M52" s="14"/>
      <c r="N52" s="75"/>
      <c r="O52" s="75"/>
    </row>
    <row r="53" spans="1:15" s="15" customFormat="1">
      <c r="A53" s="16" t="s">
        <v>52</v>
      </c>
      <c r="B53" s="17" t="s">
        <v>121</v>
      </c>
      <c r="C53" s="18" t="s">
        <v>44</v>
      </c>
      <c r="D53" s="19">
        <v>8</v>
      </c>
      <c r="E53" s="20"/>
      <c r="F53" s="20">
        <v>506</v>
      </c>
      <c r="G53" s="21">
        <f t="shared" si="3"/>
        <v>4048</v>
      </c>
      <c r="H53" s="22"/>
      <c r="I53" s="89"/>
      <c r="J53" s="14"/>
      <c r="K53" s="14"/>
      <c r="L53" s="14"/>
      <c r="M53" s="14"/>
      <c r="N53" s="75"/>
      <c r="O53" s="75"/>
    </row>
    <row r="54" spans="1:15" s="15" customFormat="1" ht="14.4">
      <c r="A54" s="16" t="s">
        <v>53</v>
      </c>
      <c r="B54" s="17" t="s">
        <v>120</v>
      </c>
      <c r="C54" s="18" t="s">
        <v>44</v>
      </c>
      <c r="D54" s="19">
        <v>5</v>
      </c>
      <c r="E54" s="20"/>
      <c r="F54" s="20">
        <v>214</v>
      </c>
      <c r="G54" s="21">
        <f t="shared" si="3"/>
        <v>1070</v>
      </c>
      <c r="H54" s="22"/>
      <c r="I54" s="89"/>
      <c r="J54" s="14"/>
      <c r="K54" s="14"/>
      <c r="L54" s="14"/>
      <c r="M54" s="14"/>
      <c r="N54" s="75"/>
      <c r="O54" s="75"/>
    </row>
    <row r="55" spans="1:15" s="15" customFormat="1" ht="14.4">
      <c r="A55" s="16" t="s">
        <v>54</v>
      </c>
      <c r="B55" s="17" t="s">
        <v>119</v>
      </c>
      <c r="C55" s="18" t="s">
        <v>44</v>
      </c>
      <c r="D55" s="19">
        <v>2</v>
      </c>
      <c r="E55" s="20"/>
      <c r="F55" s="20">
        <v>216</v>
      </c>
      <c r="G55" s="21">
        <f t="shared" si="3"/>
        <v>432</v>
      </c>
      <c r="H55" s="22"/>
      <c r="I55" s="89"/>
      <c r="J55" s="14"/>
      <c r="K55" s="14"/>
      <c r="L55" s="14"/>
      <c r="M55" s="14"/>
      <c r="N55" s="75"/>
      <c r="O55" s="75"/>
    </row>
    <row r="56" spans="1:15" s="15" customFormat="1">
      <c r="A56" s="16" t="s">
        <v>55</v>
      </c>
      <c r="B56" s="17" t="s">
        <v>115</v>
      </c>
      <c r="C56" s="18" t="s">
        <v>44</v>
      </c>
      <c r="D56" s="19">
        <v>14</v>
      </c>
      <c r="E56" s="20"/>
      <c r="F56" s="20">
        <v>64</v>
      </c>
      <c r="G56" s="21">
        <f t="shared" si="3"/>
        <v>896</v>
      </c>
      <c r="H56" s="22"/>
      <c r="I56" s="89"/>
      <c r="J56" s="14"/>
      <c r="K56" s="14"/>
      <c r="L56" s="14"/>
      <c r="M56" s="14"/>
      <c r="N56" s="75"/>
      <c r="O56" s="75"/>
    </row>
    <row r="57" spans="1:15" s="15" customFormat="1">
      <c r="A57" s="16" t="s">
        <v>56</v>
      </c>
      <c r="B57" s="17" t="s">
        <v>116</v>
      </c>
      <c r="C57" s="18" t="s">
        <v>44</v>
      </c>
      <c r="D57" s="19">
        <v>19</v>
      </c>
      <c r="E57" s="20"/>
      <c r="F57" s="20">
        <v>75</v>
      </c>
      <c r="G57" s="21">
        <f t="shared" si="3"/>
        <v>1425</v>
      </c>
      <c r="H57" s="22"/>
      <c r="I57" s="89"/>
      <c r="J57" s="14"/>
      <c r="K57" s="14"/>
      <c r="L57" s="14"/>
      <c r="M57" s="14"/>
      <c r="N57" s="75"/>
      <c r="O57" s="75"/>
    </row>
    <row r="58" spans="1:15" s="15" customFormat="1">
      <c r="A58" s="16" t="s">
        <v>57</v>
      </c>
      <c r="B58" s="17" t="s">
        <v>118</v>
      </c>
      <c r="C58" s="18" t="s">
        <v>44</v>
      </c>
      <c r="D58" s="19">
        <v>2</v>
      </c>
      <c r="E58" s="20"/>
      <c r="F58" s="20">
        <v>303</v>
      </c>
      <c r="G58" s="21">
        <f t="shared" si="3"/>
        <v>606</v>
      </c>
      <c r="H58" s="22"/>
      <c r="I58" s="89"/>
      <c r="J58" s="14"/>
      <c r="K58" s="14"/>
      <c r="L58" s="14"/>
      <c r="M58" s="14"/>
      <c r="N58" s="75"/>
      <c r="O58" s="75"/>
    </row>
    <row r="59" spans="1:15" s="15" customFormat="1">
      <c r="A59" s="16" t="s">
        <v>58</v>
      </c>
      <c r="B59" s="17" t="s">
        <v>122</v>
      </c>
      <c r="C59" s="18" t="s">
        <v>44</v>
      </c>
      <c r="D59" s="19">
        <v>4</v>
      </c>
      <c r="E59" s="20"/>
      <c r="F59" s="20">
        <v>188</v>
      </c>
      <c r="G59" s="21">
        <f t="shared" si="3"/>
        <v>752</v>
      </c>
      <c r="H59" s="22"/>
      <c r="I59" s="89"/>
      <c r="J59" s="14"/>
      <c r="K59" s="14"/>
      <c r="L59" s="14"/>
      <c r="M59" s="14"/>
      <c r="N59" s="75"/>
      <c r="O59" s="75"/>
    </row>
    <row r="60" spans="1:15" s="15" customFormat="1">
      <c r="A60" s="16" t="s">
        <v>59</v>
      </c>
      <c r="B60" s="17" t="s">
        <v>123</v>
      </c>
      <c r="C60" s="18" t="s">
        <v>44</v>
      </c>
      <c r="D60" s="19">
        <v>2</v>
      </c>
      <c r="E60" s="20"/>
      <c r="F60" s="20">
        <v>68</v>
      </c>
      <c r="G60" s="21">
        <f t="shared" si="3"/>
        <v>136</v>
      </c>
      <c r="H60" s="22"/>
      <c r="I60" s="89"/>
      <c r="J60" s="14"/>
      <c r="K60" s="14"/>
      <c r="L60" s="14"/>
      <c r="M60" s="14"/>
      <c r="N60" s="75"/>
      <c r="O60" s="75"/>
    </row>
    <row r="61" spans="1:15" s="15" customFormat="1">
      <c r="A61" s="16" t="s">
        <v>59</v>
      </c>
      <c r="B61" s="17" t="s">
        <v>124</v>
      </c>
      <c r="C61" s="18" t="s">
        <v>44</v>
      </c>
      <c r="D61" s="19">
        <v>10</v>
      </c>
      <c r="E61" s="20"/>
      <c r="F61" s="20">
        <v>90</v>
      </c>
      <c r="G61" s="21">
        <f t="shared" si="3"/>
        <v>900</v>
      </c>
      <c r="H61" s="22"/>
      <c r="I61" s="89"/>
      <c r="J61" s="14"/>
      <c r="K61" s="14"/>
      <c r="L61" s="14"/>
      <c r="M61" s="14"/>
      <c r="N61" s="75"/>
      <c r="O61" s="75"/>
    </row>
    <row r="62" spans="1:15" s="15" customFormat="1" ht="16.5" customHeight="1">
      <c r="A62" s="45"/>
      <c r="B62" s="46" t="s">
        <v>19</v>
      </c>
      <c r="C62" s="47"/>
      <c r="D62" s="48"/>
      <c r="E62" s="47"/>
      <c r="F62" s="47"/>
      <c r="G62" s="49">
        <f>SUM(G52:G61)</f>
        <v>15905</v>
      </c>
      <c r="H62" s="50"/>
      <c r="I62" s="89"/>
      <c r="J62" s="14"/>
      <c r="K62" s="14"/>
      <c r="L62" s="14"/>
      <c r="M62" s="14"/>
      <c r="N62" s="75"/>
      <c r="O62" s="75"/>
    </row>
    <row r="63" spans="1:15" s="15" customFormat="1" ht="16.5" customHeight="1">
      <c r="A63" s="33" t="s">
        <v>60</v>
      </c>
      <c r="B63" s="34" t="s">
        <v>133</v>
      </c>
      <c r="C63" s="35"/>
      <c r="D63" s="36"/>
      <c r="E63" s="35"/>
      <c r="F63" s="35"/>
      <c r="G63" s="37"/>
      <c r="H63" s="38"/>
      <c r="I63" s="89"/>
      <c r="J63" s="14"/>
      <c r="K63" s="14"/>
      <c r="L63" s="14"/>
      <c r="M63" s="14"/>
      <c r="N63" s="75"/>
      <c r="O63" s="75"/>
    </row>
    <row r="64" spans="1:15" s="15" customFormat="1" ht="17.25" customHeight="1">
      <c r="A64" s="16" t="s">
        <v>61</v>
      </c>
      <c r="B64" s="17" t="s">
        <v>125</v>
      </c>
      <c r="C64" s="18" t="s">
        <v>126</v>
      </c>
      <c r="D64" s="19">
        <f>(8.5+7+16+4)*1.6</f>
        <v>56.800000000000004</v>
      </c>
      <c r="E64" s="20">
        <v>800</v>
      </c>
      <c r="F64" s="20"/>
      <c r="G64" s="21">
        <f>(F64+E64)*D64</f>
        <v>45440</v>
      </c>
      <c r="H64" s="22"/>
      <c r="I64" s="89"/>
      <c r="J64" s="14"/>
      <c r="K64" s="14"/>
      <c r="L64" s="14"/>
      <c r="M64" s="14"/>
      <c r="N64" s="75"/>
      <c r="O64" s="75"/>
    </row>
    <row r="65" spans="1:15" s="15" customFormat="1">
      <c r="A65" s="16" t="s">
        <v>62</v>
      </c>
      <c r="B65" s="17" t="s">
        <v>131</v>
      </c>
      <c r="C65" s="18" t="s">
        <v>113</v>
      </c>
      <c r="D65" s="19">
        <f>(8.5+7+16+4)</f>
        <v>35.5</v>
      </c>
      <c r="E65" s="20">
        <v>600</v>
      </c>
      <c r="F65" s="20"/>
      <c r="G65" s="21">
        <f t="shared" ref="G65:G68" si="4">(F65+E65)*D65</f>
        <v>21300</v>
      </c>
      <c r="H65" s="22"/>
      <c r="I65" s="89"/>
      <c r="J65" s="14"/>
      <c r="K65" s="14"/>
      <c r="L65" s="14"/>
      <c r="M65" s="14"/>
      <c r="N65" s="75"/>
      <c r="O65" s="75"/>
    </row>
    <row r="66" spans="1:15" s="15" customFormat="1" ht="27.6">
      <c r="A66" s="16" t="s">
        <v>63</v>
      </c>
      <c r="B66" s="17" t="s">
        <v>127</v>
      </c>
      <c r="C66" s="18" t="s">
        <v>126</v>
      </c>
      <c r="D66" s="19">
        <f>(8.5+7+16+4)*1.2</f>
        <v>42.6</v>
      </c>
      <c r="E66" s="20">
        <v>850</v>
      </c>
      <c r="F66" s="20"/>
      <c r="G66" s="21">
        <f t="shared" si="4"/>
        <v>36210</v>
      </c>
      <c r="H66" s="22"/>
      <c r="I66" s="89"/>
      <c r="J66" s="14"/>
      <c r="K66" s="14"/>
      <c r="L66" s="14"/>
      <c r="M66" s="14"/>
      <c r="N66" s="75"/>
      <c r="O66" s="75"/>
    </row>
    <row r="67" spans="1:15" s="15" customFormat="1">
      <c r="A67" s="16" t="s">
        <v>64</v>
      </c>
      <c r="B67" s="17" t="s">
        <v>128</v>
      </c>
      <c r="C67" s="18" t="s">
        <v>44</v>
      </c>
      <c r="D67" s="19">
        <v>3</v>
      </c>
      <c r="E67" s="20">
        <v>3000</v>
      </c>
      <c r="F67" s="20"/>
      <c r="G67" s="21">
        <f t="shared" si="4"/>
        <v>9000</v>
      </c>
      <c r="H67" s="22"/>
      <c r="I67" s="89"/>
      <c r="J67" s="14"/>
      <c r="K67" s="14"/>
      <c r="L67" s="14"/>
      <c r="M67" s="14"/>
      <c r="N67" s="75"/>
      <c r="O67" s="75"/>
    </row>
    <row r="68" spans="1:15" s="15" customFormat="1">
      <c r="A68" s="16" t="s">
        <v>65</v>
      </c>
      <c r="B68" s="17" t="s">
        <v>134</v>
      </c>
      <c r="C68" s="18" t="s">
        <v>113</v>
      </c>
      <c r="D68" s="19">
        <f>6+8</f>
        <v>14</v>
      </c>
      <c r="E68" s="20">
        <v>300</v>
      </c>
      <c r="F68" s="20"/>
      <c r="G68" s="21">
        <f t="shared" si="4"/>
        <v>4200</v>
      </c>
      <c r="H68" s="22"/>
      <c r="I68" s="89"/>
      <c r="J68" s="14"/>
      <c r="K68" s="14"/>
      <c r="L68" s="14"/>
      <c r="M68" s="14"/>
      <c r="N68" s="75"/>
      <c r="O68" s="75"/>
    </row>
    <row r="69" spans="1:15" s="15" customFormat="1" ht="16.5" customHeight="1">
      <c r="A69" s="45"/>
      <c r="B69" s="46" t="s">
        <v>13</v>
      </c>
      <c r="C69" s="47"/>
      <c r="D69" s="48"/>
      <c r="E69" s="47"/>
      <c r="F69" s="47"/>
      <c r="G69" s="49">
        <f>SUM(G64:G68)</f>
        <v>116150</v>
      </c>
      <c r="H69" s="50"/>
      <c r="I69" s="89"/>
      <c r="J69" s="14"/>
      <c r="K69" s="14"/>
      <c r="L69" s="14"/>
      <c r="M69" s="14"/>
      <c r="N69" s="75"/>
      <c r="O69" s="75"/>
    </row>
    <row r="70" spans="1:15" s="15" customFormat="1" ht="16.5" customHeight="1">
      <c r="A70" s="33" t="s">
        <v>66</v>
      </c>
      <c r="B70" s="34" t="s">
        <v>15</v>
      </c>
      <c r="C70" s="35"/>
      <c r="D70" s="36"/>
      <c r="E70" s="35"/>
      <c r="F70" s="35"/>
      <c r="G70" s="37"/>
      <c r="H70" s="38"/>
      <c r="I70" s="89"/>
      <c r="J70" s="14"/>
      <c r="K70" s="14"/>
      <c r="L70" s="14"/>
      <c r="M70" s="14"/>
      <c r="N70" s="75"/>
      <c r="O70" s="75"/>
    </row>
    <row r="71" spans="1:15" s="15" customFormat="1" ht="27.6">
      <c r="A71" s="16" t="s">
        <v>67</v>
      </c>
      <c r="B71" s="17" t="s">
        <v>129</v>
      </c>
      <c r="C71" s="18" t="s">
        <v>44</v>
      </c>
      <c r="D71" s="19">
        <v>1</v>
      </c>
      <c r="E71" s="20"/>
      <c r="F71" s="20">
        <v>3878</v>
      </c>
      <c r="G71" s="21">
        <f t="shared" ref="G71:G76" si="5">(F71+E71)*D71</f>
        <v>3878</v>
      </c>
      <c r="H71" s="22"/>
      <c r="I71" s="89"/>
      <c r="J71" s="14"/>
      <c r="K71" s="14"/>
      <c r="L71" s="14"/>
      <c r="M71" s="14"/>
      <c r="N71" s="75"/>
      <c r="O71" s="75"/>
    </row>
    <row r="72" spans="1:15" s="15" customFormat="1" ht="27.6">
      <c r="A72" s="16" t="s">
        <v>68</v>
      </c>
      <c r="B72" s="17" t="s">
        <v>130</v>
      </c>
      <c r="C72" s="18" t="s">
        <v>44</v>
      </c>
      <c r="D72" s="19">
        <v>3</v>
      </c>
      <c r="E72" s="20"/>
      <c r="F72" s="20">
        <v>3483</v>
      </c>
      <c r="G72" s="21">
        <f t="shared" si="5"/>
        <v>10449</v>
      </c>
      <c r="H72" s="22"/>
      <c r="I72" s="89"/>
      <c r="J72" s="14"/>
      <c r="K72" s="14"/>
      <c r="L72" s="14"/>
      <c r="M72" s="14"/>
      <c r="N72" s="75"/>
      <c r="O72" s="75"/>
    </row>
    <row r="73" spans="1:15" s="15" customFormat="1">
      <c r="A73" s="16" t="s">
        <v>69</v>
      </c>
      <c r="B73" s="17" t="s">
        <v>132</v>
      </c>
      <c r="C73" s="18" t="s">
        <v>126</v>
      </c>
      <c r="D73" s="19">
        <f>D64-D66</f>
        <v>14.200000000000003</v>
      </c>
      <c r="E73" s="20"/>
      <c r="F73" s="20">
        <v>1800</v>
      </c>
      <c r="G73" s="21">
        <f t="shared" si="5"/>
        <v>25560.000000000004</v>
      </c>
      <c r="H73" s="22"/>
      <c r="I73" s="89"/>
      <c r="J73" s="14"/>
      <c r="K73" s="14"/>
      <c r="L73" s="14"/>
      <c r="M73" s="14"/>
      <c r="N73" s="75"/>
      <c r="O73" s="75"/>
    </row>
    <row r="74" spans="1:15" s="15" customFormat="1" ht="27.6">
      <c r="A74" s="16" t="s">
        <v>70</v>
      </c>
      <c r="B74" s="17" t="s">
        <v>135</v>
      </c>
      <c r="C74" s="18" t="s">
        <v>44</v>
      </c>
      <c r="D74" s="19">
        <v>14</v>
      </c>
      <c r="E74" s="20"/>
      <c r="F74" s="20">
        <v>680</v>
      </c>
      <c r="G74" s="21">
        <f t="shared" si="5"/>
        <v>9520</v>
      </c>
      <c r="H74" s="22"/>
      <c r="I74" s="89"/>
      <c r="J74" s="14"/>
      <c r="K74" s="14"/>
      <c r="L74" s="14"/>
      <c r="M74" s="14"/>
      <c r="N74" s="75"/>
      <c r="O74" s="75"/>
    </row>
    <row r="75" spans="1:15" s="15" customFormat="1">
      <c r="A75" s="16" t="s">
        <v>71</v>
      </c>
      <c r="B75" s="17" t="s">
        <v>136</v>
      </c>
      <c r="C75" s="18" t="s">
        <v>44</v>
      </c>
      <c r="D75" s="19">
        <v>4</v>
      </c>
      <c r="E75" s="20"/>
      <c r="F75" s="20">
        <v>120</v>
      </c>
      <c r="G75" s="21">
        <f t="shared" si="5"/>
        <v>480</v>
      </c>
      <c r="H75" s="22"/>
      <c r="I75" s="89"/>
      <c r="J75" s="14"/>
      <c r="K75" s="14"/>
      <c r="L75" s="14"/>
      <c r="M75" s="14"/>
      <c r="N75" s="75"/>
      <c r="O75" s="75"/>
    </row>
    <row r="76" spans="1:15" s="15" customFormat="1">
      <c r="A76" s="16" t="s">
        <v>72</v>
      </c>
      <c r="B76" s="17" t="s">
        <v>137</v>
      </c>
      <c r="C76" s="18" t="s">
        <v>44</v>
      </c>
      <c r="D76" s="19">
        <v>2</v>
      </c>
      <c r="E76" s="20"/>
      <c r="F76" s="20">
        <v>1154</v>
      </c>
      <c r="G76" s="21">
        <f t="shared" si="5"/>
        <v>2308</v>
      </c>
      <c r="H76" s="22"/>
      <c r="I76" s="89"/>
      <c r="J76" s="14"/>
      <c r="K76" s="14"/>
      <c r="L76" s="14"/>
      <c r="M76" s="14"/>
      <c r="N76" s="75"/>
      <c r="O76" s="75"/>
    </row>
    <row r="77" spans="1:15" s="15" customFormat="1" ht="16.5" customHeight="1">
      <c r="A77" s="45"/>
      <c r="B77" s="46" t="s">
        <v>19</v>
      </c>
      <c r="C77" s="47"/>
      <c r="D77" s="48"/>
      <c r="E77" s="47"/>
      <c r="F77" s="47"/>
      <c r="G77" s="49">
        <f>SUM(G71:G76)</f>
        <v>52195</v>
      </c>
      <c r="H77" s="50"/>
      <c r="I77" s="89"/>
      <c r="J77" s="14"/>
      <c r="K77" s="14"/>
      <c r="L77" s="14"/>
      <c r="M77" s="14"/>
      <c r="N77" s="75"/>
      <c r="O77" s="75"/>
    </row>
    <row r="78" spans="1:15" s="15" customFormat="1" ht="16.5" customHeight="1">
      <c r="A78" s="33" t="s">
        <v>73</v>
      </c>
      <c r="B78" s="34" t="s">
        <v>138</v>
      </c>
      <c r="C78" s="35"/>
      <c r="D78" s="36"/>
      <c r="E78" s="35"/>
      <c r="F78" s="35"/>
      <c r="G78" s="37"/>
      <c r="H78" s="38"/>
      <c r="I78" s="89"/>
      <c r="J78" s="14"/>
      <c r="K78" s="14"/>
      <c r="L78" s="14"/>
      <c r="M78" s="14"/>
      <c r="N78" s="75"/>
      <c r="O78" s="75"/>
    </row>
    <row r="79" spans="1:15" s="15" customFormat="1" ht="17.25" customHeight="1">
      <c r="A79" s="16" t="s">
        <v>74</v>
      </c>
      <c r="B79" s="17" t="s">
        <v>139</v>
      </c>
      <c r="C79" s="18" t="s">
        <v>89</v>
      </c>
      <c r="D79" s="19">
        <v>280</v>
      </c>
      <c r="E79" s="20">
        <v>150</v>
      </c>
      <c r="F79" s="20"/>
      <c r="G79" s="21">
        <f>(F79+E79)*D79</f>
        <v>42000</v>
      </c>
      <c r="H79" s="22" t="s">
        <v>18</v>
      </c>
      <c r="I79" s="89"/>
      <c r="J79" s="14"/>
      <c r="K79" s="14"/>
      <c r="L79" s="14"/>
      <c r="M79" s="14"/>
      <c r="N79" s="75"/>
      <c r="O79" s="75"/>
    </row>
    <row r="80" spans="1:15" s="15" customFormat="1">
      <c r="A80" s="16" t="s">
        <v>75</v>
      </c>
      <c r="B80" s="17" t="s">
        <v>140</v>
      </c>
      <c r="C80" s="18" t="s">
        <v>89</v>
      </c>
      <c r="D80" s="19">
        <f>D79</f>
        <v>280</v>
      </c>
      <c r="E80" s="20">
        <v>120</v>
      </c>
      <c r="F80" s="20"/>
      <c r="G80" s="21">
        <f t="shared" ref="G80" si="6">(F80+E80)*D80</f>
        <v>33600</v>
      </c>
      <c r="H80" s="22"/>
      <c r="I80" s="89"/>
      <c r="J80" s="14"/>
      <c r="K80" s="14"/>
      <c r="L80" s="14"/>
      <c r="M80" s="14"/>
      <c r="N80" s="75"/>
      <c r="O80" s="75"/>
    </row>
    <row r="81" spans="1:15" s="15" customFormat="1" ht="16.5" customHeight="1">
      <c r="A81" s="45"/>
      <c r="B81" s="46" t="s">
        <v>13</v>
      </c>
      <c r="C81" s="47"/>
      <c r="D81" s="48"/>
      <c r="E81" s="47"/>
      <c r="F81" s="47"/>
      <c r="G81" s="49">
        <f>SUM(G79:G80)</f>
        <v>75600</v>
      </c>
      <c r="H81" s="50"/>
      <c r="I81" s="89"/>
      <c r="J81" s="14"/>
      <c r="K81" s="14"/>
      <c r="L81" s="14"/>
      <c r="M81" s="14"/>
      <c r="N81" s="75"/>
      <c r="O81" s="75"/>
    </row>
    <row r="82" spans="1:15" s="15" customFormat="1" ht="16.5" customHeight="1">
      <c r="A82" s="33" t="s">
        <v>76</v>
      </c>
      <c r="B82" s="34" t="s">
        <v>15</v>
      </c>
      <c r="C82" s="35"/>
      <c r="D82" s="36"/>
      <c r="E82" s="35"/>
      <c r="F82" s="35"/>
      <c r="G82" s="37"/>
      <c r="H82" s="38"/>
      <c r="I82" s="89"/>
      <c r="J82" s="14"/>
      <c r="K82" s="14"/>
      <c r="L82" s="14"/>
      <c r="M82" s="14"/>
      <c r="N82" s="75"/>
      <c r="O82" s="75"/>
    </row>
    <row r="83" spans="1:15" s="15" customFormat="1">
      <c r="A83" s="16" t="s">
        <v>77</v>
      </c>
      <c r="B83" s="17" t="s">
        <v>141</v>
      </c>
      <c r="C83" s="18" t="s">
        <v>126</v>
      </c>
      <c r="D83" s="19">
        <f>D80*0.05</f>
        <v>14</v>
      </c>
      <c r="E83" s="20"/>
      <c r="F83" s="20">
        <v>900</v>
      </c>
      <c r="G83" s="21">
        <f t="shared" ref="G83:G84" si="7">(F83+E83)*D83</f>
        <v>12600</v>
      </c>
      <c r="H83" s="22"/>
      <c r="I83" s="89"/>
      <c r="J83" s="14"/>
      <c r="K83" s="14"/>
      <c r="L83" s="14"/>
      <c r="M83" s="14"/>
      <c r="N83" s="75"/>
      <c r="O83" s="75"/>
    </row>
    <row r="84" spans="1:15" s="15" customFormat="1">
      <c r="A84" s="16" t="s">
        <v>78</v>
      </c>
      <c r="B84" s="17" t="s">
        <v>142</v>
      </c>
      <c r="C84" s="18" t="s">
        <v>110</v>
      </c>
      <c r="D84" s="19">
        <f>D80*0.03</f>
        <v>8.4</v>
      </c>
      <c r="E84" s="20"/>
      <c r="F84" s="20">
        <v>50</v>
      </c>
      <c r="G84" s="21">
        <f t="shared" si="7"/>
        <v>420</v>
      </c>
      <c r="H84" s="22"/>
      <c r="I84" s="89"/>
      <c r="J84" s="14"/>
      <c r="K84" s="14"/>
      <c r="L84" s="14"/>
      <c r="M84" s="14"/>
      <c r="N84" s="75"/>
      <c r="O84" s="75"/>
    </row>
    <row r="85" spans="1:15" s="15" customFormat="1" ht="16.5" customHeight="1">
      <c r="A85" s="45"/>
      <c r="B85" s="46" t="s">
        <v>19</v>
      </c>
      <c r="C85" s="47"/>
      <c r="D85" s="48"/>
      <c r="E85" s="47"/>
      <c r="F85" s="47"/>
      <c r="G85" s="49">
        <f>SUM(G83:G84)</f>
        <v>13020</v>
      </c>
      <c r="H85" s="50"/>
      <c r="I85" s="89"/>
      <c r="J85" s="14"/>
      <c r="K85" s="14"/>
      <c r="L85" s="14"/>
      <c r="M85" s="14"/>
      <c r="N85" s="75"/>
      <c r="O85" s="75"/>
    </row>
    <row r="86" spans="1:15" s="24" customFormat="1">
      <c r="A86" s="51"/>
      <c r="B86" s="52" t="s">
        <v>80</v>
      </c>
      <c r="C86" s="38"/>
      <c r="D86" s="53"/>
      <c r="E86" s="54"/>
      <c r="F86" s="55"/>
      <c r="G86" s="36">
        <f>G11+G14+G21+G31+G37+G47+G50+G62+G69+G77+G81+G85</f>
        <v>1368072.0653173334</v>
      </c>
      <c r="H86" s="56"/>
      <c r="I86" s="91"/>
      <c r="J86" s="76"/>
      <c r="K86" s="76"/>
      <c r="L86" s="76"/>
      <c r="M86" s="76"/>
      <c r="N86" s="76"/>
      <c r="O86" s="76"/>
    </row>
    <row r="87" spans="1:15" s="24" customFormat="1" ht="14.4">
      <c r="A87" s="51"/>
      <c r="B87" s="52" t="s">
        <v>81</v>
      </c>
      <c r="C87" s="57">
        <v>7.0000000000000007E-2</v>
      </c>
      <c r="D87" s="58"/>
      <c r="E87" s="59"/>
      <c r="F87" s="60"/>
      <c r="G87" s="61">
        <f>G86*C87</f>
        <v>95765.044572213345</v>
      </c>
      <c r="H87" s="56"/>
      <c r="I87" s="91"/>
      <c r="J87" s="76"/>
      <c r="K87" s="76"/>
      <c r="L87" s="76"/>
      <c r="M87" s="76"/>
      <c r="N87" s="76"/>
      <c r="O87" s="76"/>
    </row>
    <row r="88" spans="1:15" s="24" customFormat="1" ht="14.4">
      <c r="A88" s="51"/>
      <c r="B88" s="52" t="s">
        <v>82</v>
      </c>
      <c r="C88" s="57">
        <v>0.02</v>
      </c>
      <c r="D88" s="58"/>
      <c r="E88" s="59"/>
      <c r="F88" s="60"/>
      <c r="G88" s="61">
        <f>G86*C88</f>
        <v>27361.441306346671</v>
      </c>
      <c r="H88" s="56"/>
      <c r="I88" s="91"/>
      <c r="J88" s="76"/>
      <c r="K88" s="76"/>
      <c r="L88" s="76"/>
      <c r="M88" s="76"/>
      <c r="N88" s="76"/>
      <c r="O88" s="76"/>
    </row>
    <row r="89" spans="1:15" s="26" customFormat="1">
      <c r="A89" s="68"/>
      <c r="B89" s="69" t="s">
        <v>83</v>
      </c>
      <c r="C89" s="70"/>
      <c r="D89" s="71"/>
      <c r="E89" s="72"/>
      <c r="F89" s="72"/>
      <c r="G89" s="71">
        <f>G86+G87+G88</f>
        <v>1491198.5511958934</v>
      </c>
      <c r="H89" s="69"/>
      <c r="I89" s="92"/>
      <c r="J89" s="25"/>
      <c r="K89" s="25"/>
      <c r="L89" s="25"/>
      <c r="M89" s="25"/>
      <c r="N89" s="77"/>
      <c r="O89" s="77"/>
    </row>
    <row r="90" spans="1:15" s="27" customFormat="1" ht="14.4">
      <c r="A90" s="62"/>
      <c r="B90" s="63" t="s">
        <v>84</v>
      </c>
      <c r="C90" s="64">
        <v>0.2</v>
      </c>
      <c r="D90" s="65"/>
      <c r="E90" s="66"/>
      <c r="F90" s="60"/>
      <c r="G90" s="61">
        <f>G89/120*20</f>
        <v>248533.09186598225</v>
      </c>
      <c r="H90" s="67"/>
      <c r="I90" s="93"/>
      <c r="J90" s="78"/>
      <c r="K90" s="78"/>
      <c r="L90" s="78"/>
      <c r="M90" s="78"/>
      <c r="N90" s="78"/>
      <c r="O90" s="78"/>
    </row>
    <row r="91" spans="1:15" s="83" customFormat="1" ht="14.4">
      <c r="A91" s="79"/>
      <c r="B91" s="80" t="s">
        <v>143</v>
      </c>
      <c r="C91" s="81"/>
      <c r="D91" s="82"/>
      <c r="G91" s="84">
        <f>G11+G21+G37+G50+G69+G81</f>
        <v>625395.82239999995</v>
      </c>
      <c r="H91" s="80"/>
      <c r="I91" s="94"/>
      <c r="J91" s="85"/>
      <c r="K91" s="85"/>
      <c r="L91" s="85"/>
      <c r="M91" s="85"/>
      <c r="N91" s="84"/>
      <c r="O91" s="84"/>
    </row>
    <row r="92" spans="1:15" s="83" customFormat="1" ht="14.4">
      <c r="A92" s="79"/>
      <c r="B92" s="80" t="s">
        <v>144</v>
      </c>
      <c r="C92" s="81"/>
      <c r="D92" s="82"/>
      <c r="G92" s="84">
        <f>G86-G91</f>
        <v>742676.2429173335</v>
      </c>
      <c r="H92" s="80"/>
      <c r="I92" s="94"/>
      <c r="J92" s="85"/>
      <c r="K92" s="85"/>
      <c r="L92" s="85"/>
      <c r="M92" s="85"/>
      <c r="N92" s="84"/>
      <c r="O92" s="84"/>
    </row>
  </sheetData>
  <mergeCells count="4">
    <mergeCell ref="A3:H3"/>
    <mergeCell ref="A4:H4"/>
    <mergeCell ref="A5:H5"/>
    <mergeCell ref="A6:H6"/>
  </mergeCells>
  <hyperlinks>
    <hyperlink ref="I25" r:id="rId1"/>
  </hyperlinks>
  <pageMargins left="0.51181102362204722" right="0.31496062992125984" top="0.35433070866141736" bottom="0.35433070866141736" header="0.31496062992125984" footer="0.31496062992125984"/>
  <pageSetup paperSize="9" scale="51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1"/>
  <sheetViews>
    <sheetView tabSelected="1" workbookViewId="0">
      <selection activeCell="J90" sqref="J90"/>
    </sheetView>
  </sheetViews>
  <sheetFormatPr defaultColWidth="8.6640625" defaultRowHeight="13.8"/>
  <cols>
    <col min="1" max="1" width="8.109375" style="28" customWidth="1"/>
    <col min="2" max="2" width="60.6640625" style="29" customWidth="1"/>
    <col min="3" max="3" width="10.44140625" style="30" customWidth="1"/>
    <col min="4" max="4" width="11.44140625" style="31" customWidth="1"/>
    <col min="5" max="5" width="13.109375" style="8" customWidth="1"/>
    <col min="6" max="6" width="14.33203125" style="8" customWidth="1"/>
    <col min="7" max="7" width="15.109375" style="32" customWidth="1"/>
    <col min="8" max="8" width="20.6640625" style="29" customWidth="1"/>
    <col min="9" max="9" width="15.109375" style="88" customWidth="1"/>
    <col min="10" max="13" width="15.109375" style="7" customWidth="1"/>
    <col min="14" max="15" width="15.109375" style="32" customWidth="1"/>
    <col min="16" max="16384" width="8.6640625" style="8"/>
  </cols>
  <sheetData>
    <row r="1" spans="1:15" s="6" customFormat="1" ht="16.5" customHeight="1">
      <c r="A1" s="1"/>
      <c r="B1" s="2"/>
      <c r="C1" s="3"/>
      <c r="D1" s="4"/>
      <c r="E1" s="4"/>
      <c r="F1" s="4"/>
      <c r="G1" s="5"/>
      <c r="H1" s="5" t="s">
        <v>85</v>
      </c>
      <c r="I1" s="87"/>
      <c r="J1" s="4"/>
      <c r="K1" s="4"/>
      <c r="L1" s="4"/>
      <c r="M1" s="4"/>
      <c r="N1" s="73"/>
      <c r="O1" s="73"/>
    </row>
    <row r="3" spans="1:15" ht="17.399999999999999">
      <c r="A3" s="98" t="s">
        <v>0</v>
      </c>
      <c r="B3" s="98"/>
      <c r="C3" s="98"/>
      <c r="D3" s="98"/>
      <c r="E3" s="98"/>
      <c r="F3" s="98"/>
      <c r="G3" s="98"/>
      <c r="H3" s="98"/>
    </row>
    <row r="4" spans="1:15" ht="32.4" customHeight="1">
      <c r="A4" s="99" t="s">
        <v>155</v>
      </c>
      <c r="B4" s="100"/>
      <c r="C4" s="100"/>
      <c r="D4" s="100"/>
      <c r="E4" s="100"/>
      <c r="F4" s="100"/>
      <c r="G4" s="100"/>
      <c r="H4" s="100"/>
    </row>
    <row r="5" spans="1:15">
      <c r="A5" s="99"/>
      <c r="B5" s="99"/>
      <c r="C5" s="99"/>
      <c r="D5" s="99"/>
      <c r="E5" s="99"/>
      <c r="F5" s="99"/>
      <c r="G5" s="99"/>
      <c r="H5" s="99"/>
    </row>
    <row r="6" spans="1:15" ht="21" customHeight="1">
      <c r="A6" s="101" t="s">
        <v>86</v>
      </c>
      <c r="B6" s="101"/>
      <c r="C6" s="101"/>
      <c r="D6" s="101"/>
      <c r="E6" s="101"/>
      <c r="F6" s="101"/>
      <c r="G6" s="101"/>
      <c r="H6" s="101"/>
    </row>
    <row r="7" spans="1:15" s="13" customFormat="1" ht="48.75" customHeight="1">
      <c r="A7" s="9" t="s">
        <v>1</v>
      </c>
      <c r="B7" s="10" t="s">
        <v>2</v>
      </c>
      <c r="C7" s="10" t="s">
        <v>3</v>
      </c>
      <c r="D7" s="11" t="s">
        <v>4</v>
      </c>
      <c r="E7" s="12" t="s">
        <v>5</v>
      </c>
      <c r="F7" s="12" t="s">
        <v>6</v>
      </c>
      <c r="G7" s="11" t="s">
        <v>7</v>
      </c>
      <c r="H7" s="10" t="s">
        <v>8</v>
      </c>
      <c r="I7" s="88"/>
      <c r="J7" s="7"/>
      <c r="K7" s="7"/>
      <c r="L7" s="7"/>
      <c r="M7" s="7"/>
      <c r="N7" s="74"/>
      <c r="O7" s="74"/>
    </row>
    <row r="8" spans="1:15" s="15" customFormat="1" ht="18" customHeight="1">
      <c r="A8" s="39"/>
      <c r="B8" s="40" t="s">
        <v>9</v>
      </c>
      <c r="C8" s="41"/>
      <c r="D8" s="42"/>
      <c r="E8" s="41"/>
      <c r="F8" s="41"/>
      <c r="G8" s="43"/>
      <c r="H8" s="44"/>
      <c r="I8" s="89"/>
      <c r="J8" s="14"/>
      <c r="K8" s="14"/>
      <c r="L8" s="14"/>
      <c r="M8" s="14"/>
      <c r="N8" s="75"/>
      <c r="O8" s="75"/>
    </row>
    <row r="9" spans="1:15" s="15" customFormat="1" ht="16.5" customHeight="1">
      <c r="A9" s="33" t="s">
        <v>10</v>
      </c>
      <c r="B9" s="34" t="s">
        <v>88</v>
      </c>
      <c r="C9" s="35"/>
      <c r="D9" s="36"/>
      <c r="E9" s="35"/>
      <c r="F9" s="35"/>
      <c r="G9" s="37"/>
      <c r="H9" s="38"/>
      <c r="I9" s="89"/>
      <c r="J9" s="14"/>
      <c r="K9" s="14"/>
      <c r="L9" s="14"/>
      <c r="M9" s="14"/>
      <c r="N9" s="75"/>
      <c r="O9" s="75"/>
    </row>
    <row r="10" spans="1:15" s="15" customFormat="1">
      <c r="A10" s="16" t="s">
        <v>11</v>
      </c>
      <c r="B10" s="17" t="s">
        <v>12</v>
      </c>
      <c r="C10" s="18" t="s">
        <v>89</v>
      </c>
      <c r="D10" s="19">
        <f>10*14+8*8+6*8+2*4+2*4+1.5*6</f>
        <v>277</v>
      </c>
      <c r="E10" s="20"/>
      <c r="F10" s="20"/>
      <c r="G10" s="21">
        <f>(F10+E10)*D10</f>
        <v>0</v>
      </c>
      <c r="H10" s="22"/>
      <c r="I10" s="89"/>
      <c r="J10" s="14"/>
      <c r="K10" s="14"/>
      <c r="L10" s="14"/>
      <c r="M10" s="14"/>
      <c r="N10" s="75"/>
      <c r="O10" s="75"/>
    </row>
    <row r="11" spans="1:15" s="15" customFormat="1" ht="16.5" customHeight="1">
      <c r="A11" s="45"/>
      <c r="B11" s="46" t="s">
        <v>13</v>
      </c>
      <c r="C11" s="47"/>
      <c r="D11" s="48"/>
      <c r="E11" s="47"/>
      <c r="F11" s="47"/>
      <c r="G11" s="49">
        <f>SUM(G10:G10)</f>
        <v>0</v>
      </c>
      <c r="H11" s="50"/>
      <c r="I11" s="89"/>
      <c r="J11" s="14"/>
      <c r="K11" s="14"/>
      <c r="L11" s="14"/>
      <c r="M11" s="14"/>
      <c r="N11" s="75"/>
      <c r="O11" s="75"/>
    </row>
    <row r="12" spans="1:15" s="15" customFormat="1" ht="16.5" customHeight="1">
      <c r="A12" s="33" t="s">
        <v>14</v>
      </c>
      <c r="B12" s="34" t="s">
        <v>15</v>
      </c>
      <c r="C12" s="35"/>
      <c r="D12" s="36"/>
      <c r="E12" s="35"/>
      <c r="F12" s="35"/>
      <c r="G12" s="37"/>
      <c r="H12" s="38"/>
      <c r="I12" s="89"/>
      <c r="J12" s="14"/>
      <c r="K12" s="14"/>
      <c r="L12" s="14"/>
      <c r="M12" s="14"/>
      <c r="N12" s="75"/>
      <c r="O12" s="75"/>
    </row>
    <row r="13" spans="1:15" s="15" customFormat="1" ht="16.5" customHeight="1">
      <c r="A13" s="16" t="s">
        <v>16</v>
      </c>
      <c r="B13" s="17" t="s">
        <v>145</v>
      </c>
      <c r="C13" s="18" t="s">
        <v>17</v>
      </c>
      <c r="D13" s="19">
        <v>20</v>
      </c>
      <c r="E13" s="20"/>
      <c r="F13" s="20"/>
      <c r="G13" s="21">
        <f>(F13+E13)*D13</f>
        <v>0</v>
      </c>
      <c r="H13" s="22" t="s">
        <v>18</v>
      </c>
      <c r="I13" s="89"/>
      <c r="J13" s="14"/>
      <c r="K13" s="14"/>
      <c r="L13" s="14"/>
      <c r="M13" s="14"/>
      <c r="N13" s="75"/>
      <c r="O13" s="75"/>
    </row>
    <row r="14" spans="1:15" s="15" customFormat="1" ht="16.5" customHeight="1">
      <c r="A14" s="45"/>
      <c r="B14" s="46" t="s">
        <v>19</v>
      </c>
      <c r="C14" s="47"/>
      <c r="D14" s="48"/>
      <c r="E14" s="47"/>
      <c r="F14" s="47"/>
      <c r="G14" s="49">
        <f>SUM(G13:G13)</f>
        <v>0</v>
      </c>
      <c r="H14" s="50"/>
      <c r="I14" s="89"/>
      <c r="J14" s="14"/>
      <c r="K14" s="14"/>
      <c r="L14" s="14"/>
      <c r="M14" s="14"/>
      <c r="N14" s="75"/>
      <c r="O14" s="75"/>
    </row>
    <row r="15" spans="1:15" s="15" customFormat="1" ht="16.5" customHeight="1">
      <c r="A15" s="33" t="s">
        <v>20</v>
      </c>
      <c r="B15" s="34" t="s">
        <v>79</v>
      </c>
      <c r="C15" s="35"/>
      <c r="D15" s="36"/>
      <c r="E15" s="35"/>
      <c r="F15" s="35"/>
      <c r="G15" s="37"/>
      <c r="H15" s="38"/>
      <c r="I15" s="89"/>
      <c r="J15" s="14"/>
      <c r="K15" s="14"/>
      <c r="L15" s="14"/>
      <c r="M15" s="14"/>
      <c r="N15" s="75"/>
      <c r="O15" s="75"/>
    </row>
    <row r="16" spans="1:15" s="15" customFormat="1" ht="17.25" customHeight="1">
      <c r="A16" s="16" t="s">
        <v>21</v>
      </c>
      <c r="B16" s="17" t="s">
        <v>90</v>
      </c>
      <c r="C16" s="18" t="s">
        <v>89</v>
      </c>
      <c r="D16" s="19">
        <f>14.22*7.45+14.22*3.3/2+2.05*0.4*4+7.25*7.534+5.84*7.43+1.79*3.82+3*4.2+1.5*7.45-(2.16*1.1+2.02*1.65*3+2.28*1.75*2+2.03*1.8*2+2.25*1.03+2.25*0.7)</f>
        <v>229.75200000000001</v>
      </c>
      <c r="E16" s="20"/>
      <c r="F16" s="20"/>
      <c r="G16" s="21">
        <f t="shared" ref="G16:G20" si="0">(F16+E16)*D16</f>
        <v>0</v>
      </c>
      <c r="H16" s="22"/>
      <c r="I16" s="89"/>
      <c r="J16" s="14"/>
      <c r="K16" s="14"/>
      <c r="L16" s="14"/>
      <c r="M16" s="14"/>
      <c r="N16" s="75"/>
      <c r="O16" s="75"/>
    </row>
    <row r="17" spans="1:15" s="15" customFormat="1">
      <c r="A17" s="16" t="s">
        <v>22</v>
      </c>
      <c r="B17" s="17" t="s">
        <v>94</v>
      </c>
      <c r="C17" s="18" t="s">
        <v>89</v>
      </c>
      <c r="D17" s="19">
        <f>D16</f>
        <v>229.75200000000001</v>
      </c>
      <c r="E17" s="20"/>
      <c r="F17" s="20"/>
      <c r="G17" s="21">
        <f t="shared" si="0"/>
        <v>0</v>
      </c>
      <c r="H17" s="22"/>
      <c r="I17" s="89"/>
      <c r="J17" s="14"/>
      <c r="K17" s="14"/>
      <c r="L17" s="14"/>
      <c r="M17" s="14"/>
      <c r="N17" s="75"/>
      <c r="O17" s="75"/>
    </row>
    <row r="18" spans="1:15" s="15" customFormat="1">
      <c r="A18" s="16" t="s">
        <v>23</v>
      </c>
      <c r="B18" s="17" t="s">
        <v>96</v>
      </c>
      <c r="C18" s="18" t="s">
        <v>89</v>
      </c>
      <c r="D18" s="19">
        <v>9</v>
      </c>
      <c r="E18" s="20"/>
      <c r="F18" s="20"/>
      <c r="G18" s="21">
        <f t="shared" si="0"/>
        <v>0</v>
      </c>
      <c r="H18" s="22" t="s">
        <v>18</v>
      </c>
      <c r="I18" s="89"/>
      <c r="J18" s="14"/>
      <c r="K18" s="14"/>
      <c r="L18" s="14"/>
      <c r="M18" s="14"/>
      <c r="N18" s="75"/>
      <c r="O18" s="75"/>
    </row>
    <row r="19" spans="1:15" s="15" customFormat="1">
      <c r="A19" s="16" t="s">
        <v>24</v>
      </c>
      <c r="B19" s="17" t="s">
        <v>97</v>
      </c>
      <c r="C19" s="18" t="s">
        <v>89</v>
      </c>
      <c r="D19" s="19">
        <f>D18</f>
        <v>9</v>
      </c>
      <c r="E19" s="20"/>
      <c r="F19" s="20"/>
      <c r="G19" s="21">
        <f t="shared" si="0"/>
        <v>0</v>
      </c>
      <c r="H19" s="22"/>
      <c r="I19" s="89"/>
      <c r="J19" s="14"/>
      <c r="K19" s="14"/>
      <c r="L19" s="14"/>
      <c r="M19" s="14"/>
      <c r="N19" s="75"/>
      <c r="O19" s="75"/>
    </row>
    <row r="20" spans="1:15" s="15" customFormat="1" ht="15" customHeight="1">
      <c r="A20" s="16" t="s">
        <v>25</v>
      </c>
      <c r="B20" s="17" t="s">
        <v>95</v>
      </c>
      <c r="C20" s="18" t="s">
        <v>89</v>
      </c>
      <c r="D20" s="19">
        <f>D19</f>
        <v>9</v>
      </c>
      <c r="E20" s="20"/>
      <c r="F20" s="20"/>
      <c r="G20" s="21">
        <f t="shared" si="0"/>
        <v>0</v>
      </c>
      <c r="H20" s="22"/>
      <c r="I20" s="89"/>
      <c r="J20" s="14"/>
      <c r="K20" s="14"/>
      <c r="L20" s="14"/>
      <c r="M20" s="14"/>
      <c r="N20" s="75"/>
      <c r="O20" s="75"/>
    </row>
    <row r="21" spans="1:15" s="15" customFormat="1" ht="16.5" customHeight="1">
      <c r="A21" s="45"/>
      <c r="B21" s="46" t="s">
        <v>13</v>
      </c>
      <c r="C21" s="47"/>
      <c r="D21" s="48"/>
      <c r="E21" s="47"/>
      <c r="F21" s="47"/>
      <c r="G21" s="49">
        <f>SUM(G16:G20)</f>
        <v>0</v>
      </c>
      <c r="H21" s="50"/>
      <c r="I21" s="89"/>
      <c r="J21" s="14"/>
      <c r="K21" s="14"/>
      <c r="L21" s="14"/>
      <c r="M21" s="14"/>
      <c r="N21" s="75"/>
      <c r="O21" s="75"/>
    </row>
    <row r="22" spans="1:15" s="15" customFormat="1" ht="16.5" customHeight="1">
      <c r="A22" s="33" t="s">
        <v>26</v>
      </c>
      <c r="B22" s="34" t="s">
        <v>15</v>
      </c>
      <c r="C22" s="35"/>
      <c r="D22" s="36"/>
      <c r="E22" s="35"/>
      <c r="F22" s="35"/>
      <c r="G22" s="37"/>
      <c r="H22" s="38"/>
      <c r="I22" s="89"/>
      <c r="J22" s="14"/>
      <c r="K22" s="14"/>
      <c r="L22" s="25"/>
      <c r="M22" s="89"/>
      <c r="N22" s="75"/>
      <c r="O22" s="75"/>
    </row>
    <row r="23" spans="1:15" s="15" customFormat="1" ht="27.6">
      <c r="A23" s="16" t="s">
        <v>27</v>
      </c>
      <c r="B23" s="17" t="s">
        <v>91</v>
      </c>
      <c r="C23" s="18" t="s">
        <v>44</v>
      </c>
      <c r="D23" s="19">
        <v>390</v>
      </c>
      <c r="E23" s="20"/>
      <c r="F23" s="20"/>
      <c r="G23" s="21">
        <f t="shared" ref="G23:G29" si="1">(F23+E23)*D23</f>
        <v>0</v>
      </c>
      <c r="H23" s="22"/>
      <c r="I23" s="89"/>
      <c r="J23" s="14" t="s">
        <v>150</v>
      </c>
      <c r="K23" s="14" t="s">
        <v>151</v>
      </c>
      <c r="L23" s="14"/>
      <c r="M23" s="14">
        <f>252.7272/0.65</f>
        <v>388.81107692307694</v>
      </c>
      <c r="N23" s="75" t="s">
        <v>44</v>
      </c>
      <c r="O23" s="75"/>
    </row>
    <row r="24" spans="1:15" s="15" customFormat="1" ht="14.4">
      <c r="A24" s="16" t="s">
        <v>28</v>
      </c>
      <c r="B24" s="96" t="s">
        <v>148</v>
      </c>
      <c r="C24" s="18" t="s">
        <v>44</v>
      </c>
      <c r="D24" s="23">
        <f>D16*8</f>
        <v>1838.0160000000001</v>
      </c>
      <c r="E24" s="20"/>
      <c r="F24" s="95"/>
      <c r="G24" s="21">
        <f t="shared" si="1"/>
        <v>0</v>
      </c>
      <c r="H24" s="96" t="s">
        <v>153</v>
      </c>
      <c r="I24" s="90" t="s">
        <v>147</v>
      </c>
      <c r="J24" s="14"/>
      <c r="K24" s="14"/>
      <c r="L24" s="14"/>
      <c r="M24" s="14"/>
      <c r="N24" s="75"/>
      <c r="O24" s="75"/>
    </row>
    <row r="25" spans="1:15" s="15" customFormat="1">
      <c r="A25" s="16" t="s">
        <v>29</v>
      </c>
      <c r="B25" s="17" t="s">
        <v>93</v>
      </c>
      <c r="C25" s="18" t="s">
        <v>44</v>
      </c>
      <c r="D25" s="23">
        <f>D16*3/25</f>
        <v>27.570240000000002</v>
      </c>
      <c r="E25" s="20"/>
      <c r="F25" s="20"/>
      <c r="G25" s="21">
        <f t="shared" si="1"/>
        <v>0</v>
      </c>
      <c r="H25" s="22" t="s">
        <v>92</v>
      </c>
      <c r="I25" s="89"/>
      <c r="J25" s="14"/>
      <c r="K25" s="14"/>
      <c r="L25" s="14"/>
      <c r="M25" s="14"/>
      <c r="N25" s="75"/>
      <c r="O25" s="75"/>
    </row>
    <row r="26" spans="1:15" s="15" customFormat="1">
      <c r="A26" s="16" t="s">
        <v>30</v>
      </c>
      <c r="B26" s="17" t="s">
        <v>98</v>
      </c>
      <c r="C26" s="18" t="s">
        <v>44</v>
      </c>
      <c r="D26" s="23">
        <f>D18*8/25</f>
        <v>2.88</v>
      </c>
      <c r="E26" s="20"/>
      <c r="F26" s="20"/>
      <c r="G26" s="21">
        <f t="shared" si="1"/>
        <v>0</v>
      </c>
      <c r="H26" s="22" t="s">
        <v>92</v>
      </c>
      <c r="I26" s="89"/>
      <c r="J26" s="14"/>
      <c r="K26" s="14"/>
      <c r="L26" s="14"/>
      <c r="M26" s="14"/>
      <c r="N26" s="75"/>
      <c r="O26" s="75"/>
    </row>
    <row r="27" spans="1:15" s="15" customFormat="1">
      <c r="A27" s="16" t="s">
        <v>31</v>
      </c>
      <c r="B27" s="17" t="s">
        <v>99</v>
      </c>
      <c r="C27" s="18" t="s">
        <v>89</v>
      </c>
      <c r="D27" s="86">
        <f>D18*1.1</f>
        <v>9.9</v>
      </c>
      <c r="E27" s="20"/>
      <c r="F27" s="20"/>
      <c r="G27" s="21">
        <f t="shared" si="1"/>
        <v>0</v>
      </c>
      <c r="H27" s="22"/>
      <c r="I27" s="89"/>
      <c r="J27" s="14"/>
      <c r="K27" s="14"/>
      <c r="L27" s="14"/>
      <c r="M27" s="14"/>
      <c r="N27" s="75"/>
      <c r="O27" s="75"/>
    </row>
    <row r="28" spans="1:15" s="15" customFormat="1">
      <c r="A28" s="16" t="s">
        <v>32</v>
      </c>
      <c r="B28" s="17" t="s">
        <v>100</v>
      </c>
      <c r="C28" s="18" t="s">
        <v>44</v>
      </c>
      <c r="D28" s="19">
        <f>D18*0.4/10</f>
        <v>0.36</v>
      </c>
      <c r="E28" s="20"/>
      <c r="F28" s="20"/>
      <c r="G28" s="21">
        <f t="shared" si="1"/>
        <v>0</v>
      </c>
      <c r="H28" s="22"/>
      <c r="I28" s="89"/>
      <c r="J28" s="14"/>
      <c r="K28" s="14"/>
      <c r="L28" s="14"/>
      <c r="M28" s="14"/>
      <c r="N28" s="75"/>
      <c r="O28" s="75"/>
    </row>
    <row r="29" spans="1:15" s="15" customFormat="1">
      <c r="A29" s="16" t="s">
        <v>33</v>
      </c>
      <c r="B29" s="17" t="s">
        <v>101</v>
      </c>
      <c r="C29" s="18" t="s">
        <v>44</v>
      </c>
      <c r="D29" s="86">
        <f>D20*0.35/2.5</f>
        <v>1.26</v>
      </c>
      <c r="E29" s="20"/>
      <c r="F29" s="20"/>
      <c r="G29" s="21">
        <f t="shared" si="1"/>
        <v>0</v>
      </c>
      <c r="H29" s="22"/>
      <c r="I29" s="89"/>
      <c r="J29" s="14"/>
      <c r="K29" s="14"/>
      <c r="L29" s="14"/>
      <c r="M29" s="14"/>
      <c r="N29" s="75"/>
      <c r="O29" s="75"/>
    </row>
    <row r="30" spans="1:15" s="15" customFormat="1" ht="16.5" customHeight="1">
      <c r="A30" s="45"/>
      <c r="B30" s="46" t="s">
        <v>19</v>
      </c>
      <c r="C30" s="47"/>
      <c r="D30" s="48"/>
      <c r="E30" s="47"/>
      <c r="F30" s="47"/>
      <c r="G30" s="49">
        <f>SUM(G23:G29)</f>
        <v>0</v>
      </c>
      <c r="H30" s="50"/>
      <c r="I30" s="89"/>
      <c r="J30" s="14"/>
      <c r="K30" s="14"/>
      <c r="L30" s="14"/>
      <c r="M30" s="14"/>
      <c r="N30" s="75"/>
      <c r="O30" s="75"/>
    </row>
    <row r="31" spans="1:15" s="15" customFormat="1" ht="16.5" customHeight="1">
      <c r="A31" s="33" t="s">
        <v>34</v>
      </c>
      <c r="B31" s="34" t="s">
        <v>111</v>
      </c>
      <c r="C31" s="35"/>
      <c r="D31" s="36"/>
      <c r="E31" s="35"/>
      <c r="F31" s="35"/>
      <c r="G31" s="37"/>
      <c r="H31" s="38"/>
      <c r="I31" s="89"/>
      <c r="J31" s="14"/>
      <c r="K31" s="14"/>
      <c r="L31" s="14"/>
      <c r="M31" s="14"/>
      <c r="N31" s="75"/>
      <c r="O31" s="75"/>
    </row>
    <row r="32" spans="1:15" s="15" customFormat="1" ht="17.25" customHeight="1">
      <c r="A32" s="16" t="s">
        <v>35</v>
      </c>
      <c r="B32" s="17" t="s">
        <v>102</v>
      </c>
      <c r="C32" s="18" t="s">
        <v>89</v>
      </c>
      <c r="D32" s="19">
        <f>1.4*(7.534+8.84*2+5.84)</f>
        <v>43.475599999999993</v>
      </c>
      <c r="E32" s="20"/>
      <c r="F32" s="20"/>
      <c r="G32" s="21">
        <f>(F32+E32)*D32</f>
        <v>0</v>
      </c>
      <c r="H32" s="22"/>
      <c r="I32" s="89"/>
      <c r="J32" s="14"/>
      <c r="K32" s="14"/>
      <c r="L32" s="14"/>
      <c r="M32" s="14"/>
      <c r="N32" s="75"/>
      <c r="O32" s="75"/>
    </row>
    <row r="33" spans="1:15" s="15" customFormat="1">
      <c r="A33" s="16" t="s">
        <v>36</v>
      </c>
      <c r="B33" s="17" t="s">
        <v>103</v>
      </c>
      <c r="C33" s="18" t="s">
        <v>89</v>
      </c>
      <c r="D33" s="19">
        <f>1.525*2.534-0.4*0.4+0.6*1.2*2</f>
        <v>5.1443499999999993</v>
      </c>
      <c r="E33" s="20"/>
      <c r="F33" s="20"/>
      <c r="G33" s="21">
        <f>(F33+E33)*D33</f>
        <v>0</v>
      </c>
      <c r="H33" s="22"/>
      <c r="I33" s="89"/>
      <c r="J33" s="14"/>
      <c r="K33" s="14"/>
      <c r="L33" s="14"/>
      <c r="M33" s="14"/>
      <c r="N33" s="75"/>
      <c r="O33" s="75"/>
    </row>
    <row r="34" spans="1:15" s="15" customFormat="1" ht="16.5" customHeight="1">
      <c r="A34" s="16" t="s">
        <v>37</v>
      </c>
      <c r="B34" s="17" t="s">
        <v>104</v>
      </c>
      <c r="C34" s="18" t="s">
        <v>89</v>
      </c>
      <c r="D34" s="19">
        <f>D33</f>
        <v>5.1443499999999993</v>
      </c>
      <c r="E34" s="20"/>
      <c r="F34" s="20"/>
      <c r="G34" s="21">
        <f>(F34+E34)*D34</f>
        <v>0</v>
      </c>
      <c r="H34" s="22"/>
      <c r="I34" s="89"/>
      <c r="J34" s="14"/>
      <c r="K34" s="14"/>
      <c r="L34" s="14"/>
      <c r="M34" s="14"/>
      <c r="N34" s="75"/>
      <c r="O34" s="75"/>
    </row>
    <row r="35" spans="1:15" s="15" customFormat="1">
      <c r="A35" s="16" t="s">
        <v>36</v>
      </c>
      <c r="B35" s="17" t="s">
        <v>105</v>
      </c>
      <c r="C35" s="18" t="s">
        <v>89</v>
      </c>
      <c r="D35" s="19">
        <f>D34</f>
        <v>5.1443499999999993</v>
      </c>
      <c r="E35" s="20"/>
      <c r="F35" s="20"/>
      <c r="G35" s="21">
        <f>(F35+E35)*D35</f>
        <v>0</v>
      </c>
      <c r="H35" s="22"/>
      <c r="I35" s="89"/>
      <c r="J35" s="14"/>
      <c r="K35" s="14"/>
      <c r="L35" s="14"/>
      <c r="M35" s="14"/>
      <c r="N35" s="75"/>
      <c r="O35" s="75"/>
    </row>
    <row r="36" spans="1:15" s="15" customFormat="1" ht="16.5" customHeight="1">
      <c r="A36" s="45"/>
      <c r="B36" s="46" t="s">
        <v>13</v>
      </c>
      <c r="C36" s="47"/>
      <c r="D36" s="48"/>
      <c r="E36" s="47"/>
      <c r="F36" s="47"/>
      <c r="G36" s="49">
        <f>SUM(G32:G35)</f>
        <v>0</v>
      </c>
      <c r="H36" s="50"/>
      <c r="I36" s="89"/>
      <c r="J36" s="14"/>
      <c r="K36" s="14"/>
      <c r="L36" s="14"/>
      <c r="M36" s="14"/>
      <c r="N36" s="75"/>
      <c r="O36" s="75"/>
    </row>
    <row r="37" spans="1:15" s="15" customFormat="1" ht="16.5" customHeight="1">
      <c r="A37" s="33" t="s">
        <v>38</v>
      </c>
      <c r="B37" s="34" t="s">
        <v>15</v>
      </c>
      <c r="C37" s="35"/>
      <c r="D37" s="36"/>
      <c r="E37" s="35"/>
      <c r="F37" s="35"/>
      <c r="G37" s="37"/>
      <c r="H37" s="38"/>
      <c r="I37" s="89"/>
      <c r="J37" s="14"/>
      <c r="K37" s="14"/>
      <c r="L37" s="14"/>
      <c r="M37" s="14"/>
      <c r="N37" s="75"/>
      <c r="O37" s="75"/>
    </row>
    <row r="38" spans="1:15" s="15" customFormat="1">
      <c r="A38" s="16" t="s">
        <v>39</v>
      </c>
      <c r="B38" s="17" t="s">
        <v>107</v>
      </c>
      <c r="C38" s="18" t="s">
        <v>44</v>
      </c>
      <c r="D38" s="19">
        <v>155</v>
      </c>
      <c r="E38" s="20"/>
      <c r="F38" s="20"/>
      <c r="G38" s="21">
        <f t="shared" ref="G38:G45" si="2">(F38+E38)*D38</f>
        <v>0</v>
      </c>
      <c r="H38" s="22"/>
      <c r="I38" s="89"/>
      <c r="J38" s="14"/>
      <c r="K38" s="14"/>
      <c r="L38" s="14"/>
      <c r="M38" s="14"/>
      <c r="N38" s="75"/>
      <c r="O38" s="75"/>
    </row>
    <row r="39" spans="1:15" s="15" customFormat="1">
      <c r="A39" s="16" t="s">
        <v>40</v>
      </c>
      <c r="B39" s="17" t="s">
        <v>106</v>
      </c>
      <c r="C39" s="18" t="s">
        <v>44</v>
      </c>
      <c r="D39" s="23">
        <v>26</v>
      </c>
      <c r="E39" s="20"/>
      <c r="F39" s="20"/>
      <c r="G39" s="21">
        <f t="shared" si="2"/>
        <v>0</v>
      </c>
      <c r="H39" s="22"/>
      <c r="I39" s="89"/>
      <c r="J39" s="14"/>
      <c r="K39" s="14"/>
      <c r="L39" s="14"/>
      <c r="M39" s="14"/>
      <c r="N39" s="75"/>
      <c r="O39" s="75"/>
    </row>
    <row r="40" spans="1:15" s="15" customFormat="1">
      <c r="A40" s="16" t="s">
        <v>41</v>
      </c>
      <c r="B40" s="17" t="s">
        <v>108</v>
      </c>
      <c r="C40" s="18" t="s">
        <v>44</v>
      </c>
      <c r="D40" s="19">
        <v>25</v>
      </c>
      <c r="E40" s="20"/>
      <c r="F40" s="20"/>
      <c r="G40" s="21">
        <f t="shared" si="2"/>
        <v>0</v>
      </c>
      <c r="H40" s="22"/>
      <c r="I40" s="89"/>
      <c r="J40" s="14"/>
      <c r="K40" s="14"/>
      <c r="L40" s="14"/>
      <c r="M40" s="14"/>
      <c r="N40" s="75"/>
      <c r="O40" s="75"/>
    </row>
    <row r="41" spans="1:15" s="15" customFormat="1">
      <c r="A41" s="16" t="s">
        <v>42</v>
      </c>
      <c r="B41" s="17" t="s">
        <v>109</v>
      </c>
      <c r="C41" s="18" t="s">
        <v>110</v>
      </c>
      <c r="D41" s="19">
        <v>4</v>
      </c>
      <c r="E41" s="20"/>
      <c r="F41" s="20"/>
      <c r="G41" s="21">
        <f t="shared" si="2"/>
        <v>0</v>
      </c>
      <c r="H41" s="22"/>
      <c r="I41" s="89"/>
      <c r="J41" s="14"/>
      <c r="K41" s="14"/>
      <c r="L41" s="14"/>
      <c r="M41" s="14"/>
      <c r="N41" s="75"/>
      <c r="O41" s="75"/>
    </row>
    <row r="42" spans="1:15" s="15" customFormat="1">
      <c r="A42" s="16" t="s">
        <v>43</v>
      </c>
      <c r="B42" s="17" t="s">
        <v>98</v>
      </c>
      <c r="C42" s="18" t="s">
        <v>44</v>
      </c>
      <c r="D42" s="23">
        <f>D34*8/25</f>
        <v>1.6461919999999999</v>
      </c>
      <c r="E42" s="20"/>
      <c r="F42" s="20"/>
      <c r="G42" s="21">
        <f t="shared" si="2"/>
        <v>0</v>
      </c>
      <c r="H42" s="22" t="s">
        <v>92</v>
      </c>
      <c r="I42" s="89"/>
      <c r="J42" s="14"/>
      <c r="K42" s="14"/>
      <c r="L42" s="14"/>
      <c r="M42" s="14"/>
      <c r="N42" s="75"/>
      <c r="O42" s="75"/>
    </row>
    <row r="43" spans="1:15" s="15" customFormat="1" ht="17.25" customHeight="1">
      <c r="A43" s="16" t="s">
        <v>45</v>
      </c>
      <c r="B43" s="17" t="s">
        <v>99</v>
      </c>
      <c r="C43" s="18" t="s">
        <v>89</v>
      </c>
      <c r="D43" s="86">
        <f>D34*1.1</f>
        <v>5.658785</v>
      </c>
      <c r="E43" s="20"/>
      <c r="F43" s="20"/>
      <c r="G43" s="21">
        <f t="shared" si="2"/>
        <v>0</v>
      </c>
      <c r="H43" s="22"/>
      <c r="I43" s="89"/>
      <c r="J43" s="14"/>
      <c r="K43" s="14"/>
      <c r="L43" s="14"/>
      <c r="M43" s="14"/>
      <c r="N43" s="75"/>
      <c r="O43" s="75"/>
    </row>
    <row r="44" spans="1:15" s="15" customFormat="1">
      <c r="A44" s="16" t="s">
        <v>46</v>
      </c>
      <c r="B44" s="17" t="s">
        <v>100</v>
      </c>
      <c r="C44" s="18" t="s">
        <v>44</v>
      </c>
      <c r="D44" s="19">
        <f>D34*0.4/10</f>
        <v>0.20577399999999998</v>
      </c>
      <c r="E44" s="20"/>
      <c r="F44" s="20"/>
      <c r="G44" s="21">
        <f t="shared" si="2"/>
        <v>0</v>
      </c>
      <c r="H44" s="22"/>
      <c r="I44" s="89"/>
      <c r="J44" s="14"/>
      <c r="K44" s="14"/>
      <c r="L44" s="14"/>
      <c r="M44" s="14"/>
      <c r="N44" s="75"/>
      <c r="O44" s="75"/>
    </row>
    <row r="45" spans="1:15" s="15" customFormat="1">
      <c r="A45" s="16" t="s">
        <v>47</v>
      </c>
      <c r="B45" s="17" t="s">
        <v>101</v>
      </c>
      <c r="C45" s="18" t="s">
        <v>44</v>
      </c>
      <c r="D45" s="86">
        <f>D35*0.35/2.5</f>
        <v>0.72020899999999988</v>
      </c>
      <c r="E45" s="20"/>
      <c r="F45" s="20"/>
      <c r="G45" s="21">
        <f t="shared" si="2"/>
        <v>0</v>
      </c>
      <c r="H45" s="22"/>
      <c r="I45" s="89"/>
      <c r="J45" s="14"/>
      <c r="K45" s="14"/>
      <c r="L45" s="14"/>
      <c r="M45" s="14"/>
      <c r="N45" s="75"/>
      <c r="O45" s="75"/>
    </row>
    <row r="46" spans="1:15" s="15" customFormat="1" ht="16.5" customHeight="1">
      <c r="A46" s="45"/>
      <c r="B46" s="46" t="s">
        <v>19</v>
      </c>
      <c r="C46" s="47"/>
      <c r="D46" s="48"/>
      <c r="E46" s="47"/>
      <c r="F46" s="47"/>
      <c r="G46" s="49">
        <f>SUM(G38:G45)</f>
        <v>0</v>
      </c>
      <c r="H46" s="50"/>
      <c r="I46" s="89"/>
      <c r="J46" s="14"/>
      <c r="K46" s="14"/>
      <c r="L46" s="14"/>
      <c r="M46" s="14"/>
      <c r="N46" s="75"/>
      <c r="O46" s="75"/>
    </row>
    <row r="47" spans="1:15" s="15" customFormat="1" ht="16.5" customHeight="1">
      <c r="A47" s="33" t="s">
        <v>48</v>
      </c>
      <c r="B47" s="34" t="s">
        <v>112</v>
      </c>
      <c r="C47" s="35"/>
      <c r="D47" s="36"/>
      <c r="E47" s="35"/>
      <c r="F47" s="35"/>
      <c r="G47" s="37"/>
      <c r="H47" s="38"/>
      <c r="I47" s="89"/>
      <c r="J47" s="14"/>
      <c r="K47" s="14"/>
      <c r="L47" s="14"/>
      <c r="M47" s="14"/>
      <c r="N47" s="75"/>
      <c r="O47" s="75"/>
    </row>
    <row r="48" spans="1:15" s="15" customFormat="1" ht="17.25" customHeight="1">
      <c r="A48" s="16" t="s">
        <v>49</v>
      </c>
      <c r="B48" s="17" t="s">
        <v>114</v>
      </c>
      <c r="C48" s="18" t="s">
        <v>113</v>
      </c>
      <c r="D48" s="19">
        <f>(7.534+5.84)+(1.8+3.8+3.4+1+4.2+3.2+3+3)</f>
        <v>36.774000000000001</v>
      </c>
      <c r="E48" s="20"/>
      <c r="F48" s="20"/>
      <c r="G48" s="21">
        <f>(F48+E48)*D48</f>
        <v>0</v>
      </c>
      <c r="H48" s="22"/>
      <c r="I48" s="89"/>
      <c r="J48" s="14"/>
      <c r="K48" s="14"/>
      <c r="L48" s="14"/>
      <c r="M48" s="14"/>
      <c r="N48" s="75"/>
      <c r="O48" s="75"/>
    </row>
    <row r="49" spans="1:15" s="15" customFormat="1" ht="16.5" customHeight="1">
      <c r="A49" s="45"/>
      <c r="B49" s="46" t="s">
        <v>13</v>
      </c>
      <c r="C49" s="47"/>
      <c r="D49" s="48"/>
      <c r="E49" s="47"/>
      <c r="F49" s="47"/>
      <c r="G49" s="49">
        <f>SUM(G48:G48)</f>
        <v>0</v>
      </c>
      <c r="H49" s="50"/>
      <c r="I49" s="89"/>
      <c r="J49" s="14"/>
      <c r="K49" s="14"/>
      <c r="L49" s="14"/>
      <c r="M49" s="14"/>
      <c r="N49" s="75"/>
      <c r="O49" s="75"/>
    </row>
    <row r="50" spans="1:15" s="15" customFormat="1" ht="16.5" customHeight="1">
      <c r="A50" s="33" t="s">
        <v>50</v>
      </c>
      <c r="B50" s="34" t="s">
        <v>15</v>
      </c>
      <c r="C50" s="35"/>
      <c r="D50" s="36"/>
      <c r="E50" s="35"/>
      <c r="F50" s="35"/>
      <c r="G50" s="37"/>
      <c r="H50" s="38"/>
      <c r="I50" s="89"/>
      <c r="J50" s="14"/>
      <c r="K50" s="14"/>
      <c r="L50" s="14"/>
      <c r="M50" s="14"/>
      <c r="N50" s="75"/>
      <c r="O50" s="75"/>
    </row>
    <row r="51" spans="1:15" s="15" customFormat="1">
      <c r="A51" s="16" t="s">
        <v>51</v>
      </c>
      <c r="B51" s="17" t="s">
        <v>117</v>
      </c>
      <c r="C51" s="18" t="s">
        <v>44</v>
      </c>
      <c r="D51" s="19">
        <v>5</v>
      </c>
      <c r="E51" s="20"/>
      <c r="F51" s="20"/>
      <c r="G51" s="21">
        <f t="shared" ref="G51:G60" si="3">(F51+E51)*D51</f>
        <v>0</v>
      </c>
      <c r="H51" s="22"/>
      <c r="I51" s="89"/>
      <c r="J51" s="14"/>
      <c r="K51" s="14"/>
      <c r="L51" s="14"/>
      <c r="M51" s="14"/>
      <c r="N51" s="75"/>
      <c r="O51" s="75"/>
    </row>
    <row r="52" spans="1:15" s="15" customFormat="1">
      <c r="A52" s="16" t="s">
        <v>52</v>
      </c>
      <c r="B52" s="17" t="s">
        <v>121</v>
      </c>
      <c r="C52" s="18" t="s">
        <v>44</v>
      </c>
      <c r="D52" s="19">
        <v>8</v>
      </c>
      <c r="E52" s="20"/>
      <c r="F52" s="20"/>
      <c r="G52" s="21">
        <f t="shared" si="3"/>
        <v>0</v>
      </c>
      <c r="H52" s="22"/>
      <c r="I52" s="89"/>
      <c r="J52" s="14"/>
      <c r="K52" s="14"/>
      <c r="L52" s="14"/>
      <c r="M52" s="14"/>
      <c r="N52" s="75"/>
      <c r="O52" s="75"/>
    </row>
    <row r="53" spans="1:15" s="15" customFormat="1" ht="14.4">
      <c r="A53" s="16" t="s">
        <v>53</v>
      </c>
      <c r="B53" s="17" t="s">
        <v>120</v>
      </c>
      <c r="C53" s="18" t="s">
        <v>44</v>
      </c>
      <c r="D53" s="19">
        <v>5</v>
      </c>
      <c r="E53" s="20"/>
      <c r="F53" s="20"/>
      <c r="G53" s="21">
        <f t="shared" si="3"/>
        <v>0</v>
      </c>
      <c r="H53" s="22"/>
      <c r="I53" s="89"/>
      <c r="J53" s="14"/>
      <c r="K53" s="14"/>
      <c r="L53" s="14"/>
      <c r="M53" s="14"/>
      <c r="N53" s="75"/>
      <c r="O53" s="75"/>
    </row>
    <row r="54" spans="1:15" s="15" customFormat="1" ht="14.4">
      <c r="A54" s="16" t="s">
        <v>54</v>
      </c>
      <c r="B54" s="17" t="s">
        <v>119</v>
      </c>
      <c r="C54" s="18" t="s">
        <v>44</v>
      </c>
      <c r="D54" s="19">
        <v>2</v>
      </c>
      <c r="E54" s="20"/>
      <c r="F54" s="20"/>
      <c r="G54" s="21">
        <f t="shared" si="3"/>
        <v>0</v>
      </c>
      <c r="H54" s="22"/>
      <c r="I54" s="89"/>
      <c r="J54" s="14"/>
      <c r="K54" s="14"/>
      <c r="L54" s="14"/>
      <c r="M54" s="14"/>
      <c r="N54" s="75"/>
      <c r="O54" s="75"/>
    </row>
    <row r="55" spans="1:15" s="15" customFormat="1">
      <c r="A55" s="16" t="s">
        <v>55</v>
      </c>
      <c r="B55" s="17" t="s">
        <v>115</v>
      </c>
      <c r="C55" s="18" t="s">
        <v>44</v>
      </c>
      <c r="D55" s="19">
        <v>14</v>
      </c>
      <c r="E55" s="20"/>
      <c r="F55" s="20"/>
      <c r="G55" s="21">
        <f t="shared" si="3"/>
        <v>0</v>
      </c>
      <c r="H55" s="22"/>
      <c r="I55" s="89"/>
      <c r="J55" s="14"/>
      <c r="K55" s="14"/>
      <c r="L55" s="14"/>
      <c r="M55" s="14"/>
      <c r="N55" s="75"/>
      <c r="O55" s="75"/>
    </row>
    <row r="56" spans="1:15" s="15" customFormat="1">
      <c r="A56" s="16" t="s">
        <v>56</v>
      </c>
      <c r="B56" s="17" t="s">
        <v>116</v>
      </c>
      <c r="C56" s="18" t="s">
        <v>44</v>
      </c>
      <c r="D56" s="19">
        <v>19</v>
      </c>
      <c r="E56" s="20"/>
      <c r="F56" s="20"/>
      <c r="G56" s="21">
        <f t="shared" si="3"/>
        <v>0</v>
      </c>
      <c r="H56" s="22"/>
      <c r="I56" s="89"/>
      <c r="J56" s="14"/>
      <c r="K56" s="14"/>
      <c r="L56" s="14"/>
      <c r="M56" s="14"/>
      <c r="N56" s="75"/>
      <c r="O56" s="75"/>
    </row>
    <row r="57" spans="1:15" s="15" customFormat="1">
      <c r="A57" s="16" t="s">
        <v>57</v>
      </c>
      <c r="B57" s="17" t="s">
        <v>118</v>
      </c>
      <c r="C57" s="18" t="s">
        <v>44</v>
      </c>
      <c r="D57" s="19">
        <v>2</v>
      </c>
      <c r="E57" s="20"/>
      <c r="F57" s="20"/>
      <c r="G57" s="21">
        <f t="shared" si="3"/>
        <v>0</v>
      </c>
      <c r="H57" s="22"/>
      <c r="I57" s="89"/>
      <c r="J57" s="14"/>
      <c r="K57" s="14"/>
      <c r="L57" s="14"/>
      <c r="M57" s="14"/>
      <c r="N57" s="75"/>
      <c r="O57" s="75"/>
    </row>
    <row r="58" spans="1:15" s="15" customFormat="1">
      <c r="A58" s="16" t="s">
        <v>58</v>
      </c>
      <c r="B58" s="17" t="s">
        <v>122</v>
      </c>
      <c r="C58" s="18" t="s">
        <v>44</v>
      </c>
      <c r="D58" s="19">
        <v>4</v>
      </c>
      <c r="E58" s="20"/>
      <c r="F58" s="20"/>
      <c r="G58" s="21">
        <f t="shared" si="3"/>
        <v>0</v>
      </c>
      <c r="H58" s="22"/>
      <c r="I58" s="89"/>
      <c r="J58" s="14"/>
      <c r="K58" s="14"/>
      <c r="L58" s="14"/>
      <c r="M58" s="14"/>
      <c r="N58" s="75"/>
      <c r="O58" s="75"/>
    </row>
    <row r="59" spans="1:15" s="15" customFormat="1">
      <c r="A59" s="16" t="s">
        <v>59</v>
      </c>
      <c r="B59" s="17" t="s">
        <v>123</v>
      </c>
      <c r="C59" s="18" t="s">
        <v>44</v>
      </c>
      <c r="D59" s="19">
        <v>2</v>
      </c>
      <c r="E59" s="20"/>
      <c r="F59" s="20"/>
      <c r="G59" s="21">
        <f t="shared" si="3"/>
        <v>0</v>
      </c>
      <c r="H59" s="22"/>
      <c r="I59" s="89"/>
      <c r="J59" s="14"/>
      <c r="K59" s="14"/>
      <c r="L59" s="14"/>
      <c r="M59" s="14"/>
      <c r="N59" s="75"/>
      <c r="O59" s="75"/>
    </row>
    <row r="60" spans="1:15" s="15" customFormat="1">
      <c r="A60" s="16" t="s">
        <v>59</v>
      </c>
      <c r="B60" s="17" t="s">
        <v>124</v>
      </c>
      <c r="C60" s="18" t="s">
        <v>44</v>
      </c>
      <c r="D60" s="19">
        <v>10</v>
      </c>
      <c r="E60" s="20"/>
      <c r="F60" s="20"/>
      <c r="G60" s="21">
        <f t="shared" si="3"/>
        <v>0</v>
      </c>
      <c r="H60" s="22"/>
      <c r="I60" s="89"/>
      <c r="J60" s="14"/>
      <c r="K60" s="14"/>
      <c r="L60" s="14"/>
      <c r="M60" s="14"/>
      <c r="N60" s="75"/>
      <c r="O60" s="75"/>
    </row>
    <row r="61" spans="1:15" s="15" customFormat="1" ht="16.5" customHeight="1">
      <c r="A61" s="45"/>
      <c r="B61" s="46" t="s">
        <v>19</v>
      </c>
      <c r="C61" s="47"/>
      <c r="D61" s="48"/>
      <c r="E61" s="47"/>
      <c r="F61" s="47"/>
      <c r="G61" s="49">
        <f>SUM(G51:G60)</f>
        <v>0</v>
      </c>
      <c r="H61" s="50"/>
      <c r="I61" s="89"/>
      <c r="J61" s="14"/>
      <c r="K61" s="14"/>
      <c r="L61" s="14"/>
      <c r="M61" s="14"/>
      <c r="N61" s="75"/>
      <c r="O61" s="75"/>
    </row>
    <row r="62" spans="1:15" s="15" customFormat="1" ht="16.5" customHeight="1">
      <c r="A62" s="33" t="s">
        <v>60</v>
      </c>
      <c r="B62" s="34" t="s">
        <v>133</v>
      </c>
      <c r="C62" s="35"/>
      <c r="D62" s="36"/>
      <c r="E62" s="35"/>
      <c r="F62" s="35"/>
      <c r="G62" s="37"/>
      <c r="H62" s="38"/>
      <c r="I62" s="89"/>
      <c r="J62" s="14"/>
      <c r="K62" s="14"/>
      <c r="L62" s="14"/>
      <c r="M62" s="14"/>
      <c r="N62" s="75"/>
      <c r="O62" s="75"/>
    </row>
    <row r="63" spans="1:15" s="15" customFormat="1" ht="17.25" customHeight="1">
      <c r="A63" s="16" t="s">
        <v>61</v>
      </c>
      <c r="B63" s="17" t="s">
        <v>125</v>
      </c>
      <c r="C63" s="18" t="s">
        <v>126</v>
      </c>
      <c r="D63" s="19">
        <f>(8.5+7+16+4)*1.6</f>
        <v>56.800000000000004</v>
      </c>
      <c r="E63" s="20"/>
      <c r="F63" s="20"/>
      <c r="G63" s="21">
        <f>(F63+E63)*D63</f>
        <v>0</v>
      </c>
      <c r="H63" s="22"/>
      <c r="I63" s="89"/>
      <c r="J63" s="14"/>
      <c r="K63" s="14"/>
      <c r="L63" s="14"/>
      <c r="M63" s="14"/>
      <c r="N63" s="75"/>
      <c r="O63" s="75"/>
    </row>
    <row r="64" spans="1:15" s="15" customFormat="1">
      <c r="A64" s="16" t="s">
        <v>62</v>
      </c>
      <c r="B64" s="17" t="s">
        <v>131</v>
      </c>
      <c r="C64" s="18" t="s">
        <v>113</v>
      </c>
      <c r="D64" s="19">
        <f>(8.5+7+16+4)</f>
        <v>35.5</v>
      </c>
      <c r="E64" s="20"/>
      <c r="F64" s="20"/>
      <c r="G64" s="21">
        <f t="shared" ref="G64:G67" si="4">(F64+E64)*D64</f>
        <v>0</v>
      </c>
      <c r="H64" s="22"/>
      <c r="I64" s="89"/>
      <c r="J64" s="14"/>
      <c r="K64" s="14"/>
      <c r="L64" s="14"/>
      <c r="M64" s="14"/>
      <c r="N64" s="75"/>
      <c r="O64" s="75"/>
    </row>
    <row r="65" spans="1:15" s="15" customFormat="1" ht="27.6">
      <c r="A65" s="16" t="s">
        <v>63</v>
      </c>
      <c r="B65" s="17" t="s">
        <v>127</v>
      </c>
      <c r="C65" s="18" t="s">
        <v>126</v>
      </c>
      <c r="D65" s="19">
        <f>(8.5+7+16+4)*1.2</f>
        <v>42.6</v>
      </c>
      <c r="E65" s="20"/>
      <c r="F65" s="20"/>
      <c r="G65" s="21">
        <f t="shared" si="4"/>
        <v>0</v>
      </c>
      <c r="H65" s="22"/>
      <c r="I65" s="89"/>
      <c r="J65" s="14"/>
      <c r="K65" s="14"/>
      <c r="L65" s="14"/>
      <c r="M65" s="14"/>
      <c r="N65" s="75"/>
      <c r="O65" s="75"/>
    </row>
    <row r="66" spans="1:15" s="15" customFormat="1">
      <c r="A66" s="16" t="s">
        <v>64</v>
      </c>
      <c r="B66" s="17" t="s">
        <v>128</v>
      </c>
      <c r="C66" s="18" t="s">
        <v>44</v>
      </c>
      <c r="D66" s="19">
        <v>3</v>
      </c>
      <c r="E66" s="20"/>
      <c r="F66" s="20"/>
      <c r="G66" s="21">
        <f t="shared" si="4"/>
        <v>0</v>
      </c>
      <c r="H66" s="22"/>
      <c r="I66" s="89"/>
      <c r="J66" s="14"/>
      <c r="K66" s="14"/>
      <c r="L66" s="14"/>
      <c r="M66" s="14"/>
      <c r="N66" s="75"/>
      <c r="O66" s="75"/>
    </row>
    <row r="67" spans="1:15" s="15" customFormat="1">
      <c r="A67" s="16" t="s">
        <v>65</v>
      </c>
      <c r="B67" s="17" t="s">
        <v>134</v>
      </c>
      <c r="C67" s="18" t="s">
        <v>113</v>
      </c>
      <c r="D67" s="19">
        <f>6+8</f>
        <v>14</v>
      </c>
      <c r="E67" s="20"/>
      <c r="F67" s="20"/>
      <c r="G67" s="21">
        <f t="shared" si="4"/>
        <v>0</v>
      </c>
      <c r="H67" s="22"/>
      <c r="I67" s="89"/>
      <c r="J67" s="14"/>
      <c r="K67" s="14"/>
      <c r="L67" s="14"/>
      <c r="M67" s="14"/>
      <c r="N67" s="75"/>
      <c r="O67" s="75"/>
    </row>
    <row r="68" spans="1:15" s="15" customFormat="1" ht="16.5" customHeight="1">
      <c r="A68" s="45"/>
      <c r="B68" s="46" t="s">
        <v>13</v>
      </c>
      <c r="C68" s="47"/>
      <c r="D68" s="48"/>
      <c r="E68" s="47"/>
      <c r="F68" s="47"/>
      <c r="G68" s="49">
        <f>SUM(G63:G67)</f>
        <v>0</v>
      </c>
      <c r="H68" s="50"/>
      <c r="I68" s="89"/>
      <c r="J68" s="14"/>
      <c r="K68" s="14"/>
      <c r="L68" s="14"/>
      <c r="M68" s="14"/>
      <c r="N68" s="75"/>
      <c r="O68" s="75"/>
    </row>
    <row r="69" spans="1:15" s="15" customFormat="1" ht="16.5" customHeight="1">
      <c r="A69" s="33" t="s">
        <v>66</v>
      </c>
      <c r="B69" s="34" t="s">
        <v>15</v>
      </c>
      <c r="C69" s="35"/>
      <c r="D69" s="36"/>
      <c r="E69" s="35"/>
      <c r="F69" s="35"/>
      <c r="G69" s="37"/>
      <c r="H69" s="38"/>
      <c r="I69" s="89"/>
      <c r="J69" s="14"/>
      <c r="K69" s="14"/>
      <c r="L69" s="14"/>
      <c r="M69" s="14"/>
      <c r="N69" s="75"/>
      <c r="O69" s="75"/>
    </row>
    <row r="70" spans="1:15" s="15" customFormat="1" ht="27.6">
      <c r="A70" s="16" t="s">
        <v>67</v>
      </c>
      <c r="B70" s="17" t="s">
        <v>129</v>
      </c>
      <c r="C70" s="18" t="s">
        <v>44</v>
      </c>
      <c r="D70" s="19">
        <v>1</v>
      </c>
      <c r="E70" s="20"/>
      <c r="F70" s="20"/>
      <c r="G70" s="21">
        <f t="shared" ref="G70:G75" si="5">(F70+E70)*D70</f>
        <v>0</v>
      </c>
      <c r="H70" s="22"/>
      <c r="I70" s="89"/>
      <c r="J70" s="14"/>
      <c r="K70" s="14"/>
      <c r="L70" s="14"/>
      <c r="M70" s="14"/>
      <c r="N70" s="75"/>
      <c r="O70" s="75"/>
    </row>
    <row r="71" spans="1:15" s="15" customFormat="1" ht="27.6">
      <c r="A71" s="16" t="s">
        <v>68</v>
      </c>
      <c r="B71" s="17" t="s">
        <v>130</v>
      </c>
      <c r="C71" s="18" t="s">
        <v>44</v>
      </c>
      <c r="D71" s="19">
        <v>3</v>
      </c>
      <c r="E71" s="20"/>
      <c r="F71" s="20"/>
      <c r="G71" s="21">
        <f t="shared" si="5"/>
        <v>0</v>
      </c>
      <c r="H71" s="22"/>
      <c r="I71" s="89"/>
      <c r="J71" s="14"/>
      <c r="K71" s="14"/>
      <c r="L71" s="14"/>
      <c r="M71" s="14"/>
      <c r="N71" s="75"/>
      <c r="O71" s="75"/>
    </row>
    <row r="72" spans="1:15" s="15" customFormat="1">
      <c r="A72" s="16" t="s">
        <v>69</v>
      </c>
      <c r="B72" s="17" t="s">
        <v>132</v>
      </c>
      <c r="C72" s="18" t="s">
        <v>126</v>
      </c>
      <c r="D72" s="19">
        <f>D63-D65</f>
        <v>14.200000000000003</v>
      </c>
      <c r="E72" s="20"/>
      <c r="F72" s="20"/>
      <c r="G72" s="21">
        <f t="shared" si="5"/>
        <v>0</v>
      </c>
      <c r="H72" s="22"/>
      <c r="I72" s="89"/>
      <c r="J72" s="14"/>
      <c r="K72" s="14"/>
      <c r="L72" s="14"/>
      <c r="M72" s="14"/>
      <c r="N72" s="75"/>
      <c r="O72" s="75"/>
    </row>
    <row r="73" spans="1:15" s="15" customFormat="1" ht="27.6">
      <c r="A73" s="16" t="s">
        <v>70</v>
      </c>
      <c r="B73" s="17" t="s">
        <v>135</v>
      </c>
      <c r="C73" s="18" t="s">
        <v>44</v>
      </c>
      <c r="D73" s="19">
        <v>14</v>
      </c>
      <c r="E73" s="20"/>
      <c r="F73" s="20"/>
      <c r="G73" s="21">
        <f t="shared" si="5"/>
        <v>0</v>
      </c>
      <c r="H73" s="22"/>
      <c r="I73" s="89"/>
      <c r="J73" s="14"/>
      <c r="K73" s="14"/>
      <c r="L73" s="14"/>
      <c r="M73" s="14"/>
      <c r="N73" s="75"/>
      <c r="O73" s="75"/>
    </row>
    <row r="74" spans="1:15" s="15" customFormat="1">
      <c r="A74" s="16" t="s">
        <v>71</v>
      </c>
      <c r="B74" s="17" t="s">
        <v>136</v>
      </c>
      <c r="C74" s="18" t="s">
        <v>44</v>
      </c>
      <c r="D74" s="19">
        <v>4</v>
      </c>
      <c r="E74" s="20"/>
      <c r="F74" s="20"/>
      <c r="G74" s="21">
        <f t="shared" si="5"/>
        <v>0</v>
      </c>
      <c r="H74" s="22"/>
      <c r="I74" s="89"/>
      <c r="J74" s="14"/>
      <c r="K74" s="14"/>
      <c r="L74" s="14"/>
      <c r="M74" s="14"/>
      <c r="N74" s="75"/>
      <c r="O74" s="75"/>
    </row>
    <row r="75" spans="1:15" s="15" customFormat="1">
      <c r="A75" s="16" t="s">
        <v>72</v>
      </c>
      <c r="B75" s="17" t="s">
        <v>137</v>
      </c>
      <c r="C75" s="18" t="s">
        <v>44</v>
      </c>
      <c r="D75" s="19">
        <v>2</v>
      </c>
      <c r="E75" s="20"/>
      <c r="F75" s="20"/>
      <c r="G75" s="21">
        <f t="shared" si="5"/>
        <v>0</v>
      </c>
      <c r="H75" s="22"/>
      <c r="I75" s="89"/>
      <c r="J75" s="14"/>
      <c r="K75" s="14"/>
      <c r="L75" s="14"/>
      <c r="M75" s="14"/>
      <c r="N75" s="75"/>
      <c r="O75" s="75"/>
    </row>
    <row r="76" spans="1:15" s="15" customFormat="1" ht="16.5" customHeight="1">
      <c r="A76" s="45"/>
      <c r="B76" s="46" t="s">
        <v>19</v>
      </c>
      <c r="C76" s="47"/>
      <c r="D76" s="48"/>
      <c r="E76" s="47"/>
      <c r="F76" s="47"/>
      <c r="G76" s="49">
        <f>SUM(G70:G75)</f>
        <v>0</v>
      </c>
      <c r="H76" s="50"/>
      <c r="I76" s="89"/>
      <c r="J76" s="14"/>
      <c r="K76" s="14"/>
      <c r="L76" s="14"/>
      <c r="M76" s="14"/>
      <c r="N76" s="75"/>
      <c r="O76" s="75"/>
    </row>
    <row r="77" spans="1:15" s="15" customFormat="1" ht="16.5" customHeight="1">
      <c r="A77" s="33" t="s">
        <v>73</v>
      </c>
      <c r="B77" s="34" t="s">
        <v>138</v>
      </c>
      <c r="C77" s="35"/>
      <c r="D77" s="36"/>
      <c r="E77" s="35"/>
      <c r="F77" s="35"/>
      <c r="G77" s="37"/>
      <c r="H77" s="38"/>
      <c r="I77" s="89"/>
      <c r="J77" s="14"/>
      <c r="K77" s="14"/>
      <c r="L77" s="14"/>
      <c r="M77" s="14"/>
      <c r="N77" s="75"/>
      <c r="O77" s="75"/>
    </row>
    <row r="78" spans="1:15" s="15" customFormat="1" ht="17.25" customHeight="1">
      <c r="A78" s="16" t="s">
        <v>74</v>
      </c>
      <c r="B78" s="17" t="s">
        <v>139</v>
      </c>
      <c r="C78" s="18" t="s">
        <v>89</v>
      </c>
      <c r="D78" s="19">
        <v>280</v>
      </c>
      <c r="E78" s="20"/>
      <c r="F78" s="20"/>
      <c r="G78" s="21">
        <f>(F78+E78)*D78</f>
        <v>0</v>
      </c>
      <c r="H78" s="22" t="s">
        <v>18</v>
      </c>
      <c r="I78" s="89"/>
      <c r="J78" s="14"/>
      <c r="K78" s="14"/>
      <c r="L78" s="14"/>
      <c r="M78" s="14"/>
      <c r="N78" s="75"/>
      <c r="O78" s="75"/>
    </row>
    <row r="79" spans="1:15" s="15" customFormat="1">
      <c r="A79" s="16" t="s">
        <v>75</v>
      </c>
      <c r="B79" s="17" t="s">
        <v>140</v>
      </c>
      <c r="C79" s="18" t="s">
        <v>89</v>
      </c>
      <c r="D79" s="19">
        <f>D78</f>
        <v>280</v>
      </c>
      <c r="E79" s="20"/>
      <c r="F79" s="20"/>
      <c r="G79" s="21">
        <f t="shared" ref="G79" si="6">(F79+E79)*D79</f>
        <v>0</v>
      </c>
      <c r="H79" s="22"/>
      <c r="I79" s="89"/>
      <c r="J79" s="14"/>
      <c r="K79" s="14"/>
      <c r="L79" s="14"/>
      <c r="M79" s="14"/>
      <c r="N79" s="75"/>
      <c r="O79" s="75"/>
    </row>
    <row r="80" spans="1:15" s="15" customFormat="1" ht="16.5" customHeight="1">
      <c r="A80" s="45"/>
      <c r="B80" s="46" t="s">
        <v>13</v>
      </c>
      <c r="C80" s="47"/>
      <c r="D80" s="48"/>
      <c r="E80" s="47"/>
      <c r="F80" s="47"/>
      <c r="G80" s="49">
        <f>SUM(G78:G79)</f>
        <v>0</v>
      </c>
      <c r="H80" s="50"/>
      <c r="I80" s="89"/>
      <c r="J80" s="14"/>
      <c r="K80" s="14"/>
      <c r="L80" s="14"/>
      <c r="M80" s="14"/>
      <c r="N80" s="75"/>
      <c r="O80" s="75"/>
    </row>
    <row r="81" spans="1:15" s="15" customFormat="1" ht="16.5" customHeight="1">
      <c r="A81" s="33" t="s">
        <v>76</v>
      </c>
      <c r="B81" s="34" t="s">
        <v>15</v>
      </c>
      <c r="C81" s="35"/>
      <c r="D81" s="36"/>
      <c r="E81" s="35"/>
      <c r="F81" s="35"/>
      <c r="G81" s="37"/>
      <c r="H81" s="38"/>
      <c r="I81" s="89"/>
      <c r="J81" s="14"/>
      <c r="K81" s="14"/>
      <c r="L81" s="14"/>
      <c r="M81" s="14"/>
      <c r="N81" s="75"/>
      <c r="O81" s="75"/>
    </row>
    <row r="82" spans="1:15" s="15" customFormat="1">
      <c r="A82" s="16" t="s">
        <v>77</v>
      </c>
      <c r="B82" s="17" t="s">
        <v>141</v>
      </c>
      <c r="C82" s="18" t="s">
        <v>126</v>
      </c>
      <c r="D82" s="19">
        <f>D79*0.05</f>
        <v>14</v>
      </c>
      <c r="E82" s="20"/>
      <c r="F82" s="20"/>
      <c r="G82" s="21">
        <f t="shared" ref="G82:G83" si="7">(F82+E82)*D82</f>
        <v>0</v>
      </c>
      <c r="H82" s="22"/>
      <c r="I82" s="89"/>
      <c r="J82" s="14"/>
      <c r="K82" s="14"/>
      <c r="L82" s="14"/>
      <c r="M82" s="14"/>
      <c r="N82" s="75"/>
      <c r="O82" s="75"/>
    </row>
    <row r="83" spans="1:15" s="15" customFormat="1">
      <c r="A83" s="16" t="s">
        <v>78</v>
      </c>
      <c r="B83" s="17" t="s">
        <v>142</v>
      </c>
      <c r="C83" s="18" t="s">
        <v>110</v>
      </c>
      <c r="D83" s="19">
        <f>D79*0.03</f>
        <v>8.4</v>
      </c>
      <c r="E83" s="20"/>
      <c r="F83" s="20"/>
      <c r="G83" s="21">
        <f t="shared" si="7"/>
        <v>0</v>
      </c>
      <c r="H83" s="22"/>
      <c r="I83" s="89"/>
      <c r="J83" s="14"/>
      <c r="K83" s="14"/>
      <c r="L83" s="14"/>
      <c r="M83" s="14"/>
      <c r="N83" s="75"/>
      <c r="O83" s="75"/>
    </row>
    <row r="84" spans="1:15" s="15" customFormat="1" ht="16.5" customHeight="1">
      <c r="A84" s="45"/>
      <c r="B84" s="46" t="s">
        <v>19</v>
      </c>
      <c r="C84" s="47"/>
      <c r="D84" s="48"/>
      <c r="E84" s="47"/>
      <c r="F84" s="47"/>
      <c r="G84" s="49">
        <f>SUM(G82:G83)</f>
        <v>0</v>
      </c>
      <c r="H84" s="50"/>
      <c r="I84" s="89"/>
      <c r="J84" s="14"/>
      <c r="K84" s="14"/>
      <c r="L84" s="14"/>
      <c r="M84" s="14"/>
      <c r="N84" s="75"/>
      <c r="O84" s="75"/>
    </row>
    <row r="85" spans="1:15" s="24" customFormat="1">
      <c r="A85" s="51"/>
      <c r="B85" s="52" t="s">
        <v>80</v>
      </c>
      <c r="C85" s="38"/>
      <c r="D85" s="53"/>
      <c r="E85" s="54"/>
      <c r="F85" s="55"/>
      <c r="G85" s="36">
        <f>G11+G14+G21+G30+G36+G46+G49+G61+G68+G76+G80+G84</f>
        <v>0</v>
      </c>
      <c r="H85" s="56"/>
      <c r="I85" s="91"/>
      <c r="J85" s="76"/>
      <c r="K85" s="76"/>
      <c r="L85" s="76"/>
      <c r="M85" s="76"/>
      <c r="N85" s="76"/>
      <c r="O85" s="76"/>
    </row>
    <row r="86" spans="1:15" s="24" customFormat="1" ht="14.4">
      <c r="A86" s="51"/>
      <c r="B86" s="52" t="s">
        <v>81</v>
      </c>
      <c r="C86" s="57">
        <v>7.0000000000000007E-2</v>
      </c>
      <c r="D86" s="58"/>
      <c r="E86" s="59"/>
      <c r="F86" s="60"/>
      <c r="G86" s="61">
        <f>G85*C86</f>
        <v>0</v>
      </c>
      <c r="H86" s="56"/>
      <c r="I86" s="91"/>
      <c r="J86" s="76"/>
      <c r="K86" s="76"/>
      <c r="L86" s="76"/>
      <c r="M86" s="76"/>
      <c r="N86" s="76"/>
      <c r="O86" s="76"/>
    </row>
    <row r="87" spans="1:15" s="24" customFormat="1" ht="14.4">
      <c r="A87" s="51"/>
      <c r="B87" s="52" t="s">
        <v>82</v>
      </c>
      <c r="C87" s="57">
        <v>0.02</v>
      </c>
      <c r="D87" s="58"/>
      <c r="E87" s="59"/>
      <c r="F87" s="60"/>
      <c r="G87" s="61">
        <f>G85*C87</f>
        <v>0</v>
      </c>
      <c r="H87" s="56"/>
      <c r="I87" s="91"/>
      <c r="J87" s="76"/>
      <c r="K87" s="76"/>
      <c r="L87" s="76"/>
      <c r="M87" s="76"/>
      <c r="N87" s="76"/>
      <c r="O87" s="76"/>
    </row>
    <row r="88" spans="1:15" s="26" customFormat="1">
      <c r="A88" s="68"/>
      <c r="B88" s="69" t="s">
        <v>83</v>
      </c>
      <c r="C88" s="70"/>
      <c r="D88" s="71"/>
      <c r="E88" s="72"/>
      <c r="F88" s="72"/>
      <c r="G88" s="71">
        <f>G85+G86+G87</f>
        <v>0</v>
      </c>
      <c r="H88" s="69"/>
      <c r="I88" s="92"/>
      <c r="J88" s="25"/>
      <c r="K88" s="25"/>
      <c r="L88" s="25"/>
      <c r="M88" s="25"/>
      <c r="N88" s="77"/>
      <c r="O88" s="77"/>
    </row>
    <row r="89" spans="1:15" s="27" customFormat="1" ht="14.4">
      <c r="A89" s="62"/>
      <c r="B89" s="63" t="s">
        <v>84</v>
      </c>
      <c r="C89" s="64">
        <v>0.2</v>
      </c>
      <c r="D89" s="65"/>
      <c r="E89" s="66"/>
      <c r="F89" s="60"/>
      <c r="G89" s="61">
        <f>G88/120*20</f>
        <v>0</v>
      </c>
      <c r="H89" s="67"/>
      <c r="I89" s="93"/>
      <c r="J89" s="78"/>
      <c r="K89" s="78"/>
      <c r="L89" s="78"/>
      <c r="M89" s="78"/>
      <c r="N89" s="78"/>
      <c r="O89" s="78"/>
    </row>
    <row r="90" spans="1:15" s="83" customFormat="1" ht="14.4">
      <c r="A90" s="79"/>
      <c r="B90" s="80" t="s">
        <v>143</v>
      </c>
      <c r="C90" s="81"/>
      <c r="D90" s="82"/>
      <c r="G90" s="84">
        <f>G11+G21+G36+G49+G68+G80</f>
        <v>0</v>
      </c>
      <c r="H90" s="80"/>
      <c r="I90" s="94"/>
      <c r="J90" s="85"/>
      <c r="K90" s="85"/>
      <c r="L90" s="85"/>
      <c r="M90" s="85"/>
      <c r="N90" s="84"/>
      <c r="O90" s="84"/>
    </row>
    <row r="91" spans="1:15" s="83" customFormat="1" ht="14.4">
      <c r="A91" s="79"/>
      <c r="B91" s="80" t="s">
        <v>144</v>
      </c>
      <c r="C91" s="81"/>
      <c r="D91" s="82"/>
      <c r="G91" s="84">
        <f>G85-G90</f>
        <v>0</v>
      </c>
      <c r="H91" s="80"/>
      <c r="I91" s="94"/>
      <c r="J91" s="85"/>
      <c r="K91" s="85"/>
      <c r="L91" s="85"/>
      <c r="M91" s="85"/>
      <c r="N91" s="84"/>
      <c r="O91" s="84"/>
    </row>
  </sheetData>
  <mergeCells count="4">
    <mergeCell ref="A3:H3"/>
    <mergeCell ref="A4:H4"/>
    <mergeCell ref="A5:H5"/>
    <mergeCell ref="A6:H6"/>
  </mergeCells>
  <hyperlinks>
    <hyperlink ref="I24" r:id="rId1"/>
  </hyperlinks>
  <pageMargins left="0.51181102362204722" right="0.31496062992125984" top="0.35433070866141736" bottom="0.35433070866141736" header="0.31496062992125984" footer="0.31496062992125984"/>
  <pageSetup paperSize="9" scale="51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смета</vt:lpstr>
      <vt:lpstr>12.01.22</vt:lpstr>
      <vt:lpstr>12.01.22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2022-03-15T05:23:26Z</dcterms:modified>
</cp:coreProperties>
</file>