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11025" windowHeight="12285" firstSheet="1" activeTab="1"/>
  </bookViews>
  <sheets>
    <sheet name="Смета на черновые работы" sheetId="4" state="hidden" r:id="rId1"/>
    <sheet name="Смета-шаблон 2" sheetId="18" r:id="rId2"/>
    <sheet name="Лист1" sheetId="13" state="hidden" r:id="rId3"/>
    <sheet name="Электрика" sheetId="12" state="hidden" r:id="rId4"/>
    <sheet name="Лист2" sheetId="11" state="hidden" r:id="rId5"/>
    <sheet name="Отделочные работы" sheetId="9" state="hidden" r:id="rId6"/>
  </sheets>
  <definedNames>
    <definedName name="_xlnm._FilterDatabase" localSheetId="0" hidden="1">'Смета на черновые работы'!$A$11:$L$163</definedName>
    <definedName name="_xlnm.Print_Area" localSheetId="5">'Отделочные работы'!$A$352:$J$398</definedName>
    <definedName name="_xlnm.Print_Area" localSheetId="0">'Смета на черновые работы'!$A$1:$M$170</definedName>
  </definedNames>
  <calcPr calcId="152511"/>
</workbook>
</file>

<file path=xl/calcChain.xml><?xml version="1.0" encoding="utf-8"?>
<calcChain xmlns="http://schemas.openxmlformats.org/spreadsheetml/2006/main">
  <c r="I95" i="18" l="1"/>
  <c r="H148" i="18"/>
  <c r="J148" i="18" s="1"/>
  <c r="I146" i="18"/>
  <c r="J146" i="18" s="1"/>
  <c r="I145" i="18"/>
  <c r="J145" i="18" s="1"/>
  <c r="I144" i="18"/>
  <c r="J144" i="18" s="1"/>
  <c r="I143" i="18"/>
  <c r="J143" i="18" s="1"/>
  <c r="I142" i="18"/>
  <c r="J142" i="18" s="1"/>
  <c r="H141" i="18"/>
  <c r="J141" i="18" s="1"/>
  <c r="I140" i="18"/>
  <c r="J140" i="18" s="1"/>
  <c r="I139" i="18"/>
  <c r="J139" i="18" s="1"/>
  <c r="I138" i="18"/>
  <c r="J138" i="18" s="1"/>
  <c r="I137" i="18"/>
  <c r="J137" i="18" s="1"/>
  <c r="I136" i="18"/>
  <c r="J136" i="18" s="1"/>
  <c r="H135" i="18"/>
  <c r="J135" i="18" s="1"/>
  <c r="I134" i="18"/>
  <c r="J134" i="18" s="1"/>
  <c r="I133" i="18"/>
  <c r="J133" i="18" s="1"/>
  <c r="I132" i="18"/>
  <c r="J132" i="18" s="1"/>
  <c r="I131" i="18"/>
  <c r="J131" i="18" s="1"/>
  <c r="H130" i="18"/>
  <c r="J130" i="18" s="1"/>
  <c r="I129" i="18"/>
  <c r="J129" i="18" s="1"/>
  <c r="H128" i="18"/>
  <c r="J128" i="18" s="1"/>
  <c r="H127" i="18"/>
  <c r="J127" i="18" s="1"/>
  <c r="I126" i="18"/>
  <c r="J126" i="18" s="1"/>
  <c r="I125" i="18"/>
  <c r="J125" i="18" s="1"/>
  <c r="I124" i="18"/>
  <c r="J124" i="18" s="1"/>
  <c r="I123" i="18"/>
  <c r="J123" i="18" s="1"/>
  <c r="H122" i="18"/>
  <c r="J122" i="18" s="1"/>
  <c r="I121" i="18"/>
  <c r="J121" i="18" s="1"/>
  <c r="I120" i="18"/>
  <c r="J120" i="18" s="1"/>
  <c r="I119" i="18"/>
  <c r="J119" i="18" s="1"/>
  <c r="I118" i="18"/>
  <c r="J118" i="18" s="1"/>
  <c r="H117" i="18"/>
  <c r="J117" i="18" s="1"/>
  <c r="I116" i="18"/>
  <c r="J116" i="18" s="1"/>
  <c r="I115" i="18"/>
  <c r="J115" i="18" s="1"/>
  <c r="I114" i="18"/>
  <c r="J114" i="18" s="1"/>
  <c r="I113" i="18"/>
  <c r="J113" i="18" s="1"/>
  <c r="I112" i="18"/>
  <c r="J112" i="18" s="1"/>
  <c r="I111" i="18"/>
  <c r="J111" i="18" s="1"/>
  <c r="H110" i="18"/>
  <c r="J110" i="18" s="1"/>
  <c r="I109" i="18"/>
  <c r="J109" i="18" s="1"/>
  <c r="H108" i="18"/>
  <c r="J108" i="18" s="1"/>
  <c r="I107" i="18"/>
  <c r="J107" i="18" s="1"/>
  <c r="H106" i="18"/>
  <c r="J106" i="18" s="1"/>
  <c r="I105" i="18"/>
  <c r="J105" i="18" s="1"/>
  <c r="I104" i="18"/>
  <c r="J104" i="18" s="1"/>
  <c r="I103" i="18"/>
  <c r="J103" i="18" s="1"/>
  <c r="I102" i="18"/>
  <c r="J102" i="18" s="1"/>
  <c r="I101" i="18"/>
  <c r="J101" i="18" s="1"/>
  <c r="H100" i="18"/>
  <c r="J100" i="18" s="1"/>
  <c r="I99" i="18"/>
  <c r="J99" i="18" s="1"/>
  <c r="H98" i="18"/>
  <c r="J98" i="18" s="1"/>
  <c r="I97" i="18"/>
  <c r="J97" i="18" s="1"/>
  <c r="H96" i="18"/>
  <c r="J96" i="18" s="1"/>
  <c r="H95" i="18"/>
  <c r="J95" i="18" s="1"/>
  <c r="I94" i="18"/>
  <c r="J94" i="18" s="1"/>
  <c r="I93" i="18"/>
  <c r="J93" i="18" s="1"/>
  <c r="I92" i="18"/>
  <c r="J92" i="18" s="1"/>
  <c r="I91" i="18"/>
  <c r="J91" i="18" s="1"/>
  <c r="I90" i="18"/>
  <c r="J90" i="18" s="1"/>
  <c r="I89" i="18"/>
  <c r="J89" i="18" s="1"/>
  <c r="I88" i="18"/>
  <c r="J88" i="18" s="1"/>
  <c r="C88" i="18"/>
  <c r="H87" i="18"/>
  <c r="J87" i="18" s="1"/>
  <c r="I86" i="18"/>
  <c r="J86" i="18" s="1"/>
  <c r="I85" i="18"/>
  <c r="J85" i="18" s="1"/>
  <c r="I84" i="18"/>
  <c r="J84" i="18" s="1"/>
  <c r="I83" i="18"/>
  <c r="J83" i="18" s="1"/>
  <c r="I82" i="18"/>
  <c r="J82" i="18" s="1"/>
  <c r="I81" i="18"/>
  <c r="J81" i="18" s="1"/>
  <c r="H80" i="18"/>
  <c r="J80" i="18" s="1"/>
  <c r="I79" i="18"/>
  <c r="J79" i="18" s="1"/>
  <c r="I78" i="18"/>
  <c r="J78" i="18" s="1"/>
  <c r="I77" i="18"/>
  <c r="J77" i="18" s="1"/>
  <c r="I76" i="18"/>
  <c r="J76" i="18" s="1"/>
  <c r="I75" i="18"/>
  <c r="J75" i="18" s="1"/>
  <c r="C75" i="18"/>
  <c r="H74" i="18"/>
  <c r="J74" i="18" s="1"/>
  <c r="I73" i="18"/>
  <c r="J73" i="18" s="1"/>
  <c r="I72" i="18"/>
  <c r="J72" i="18" s="1"/>
  <c r="I71" i="18"/>
  <c r="J71" i="18" s="1"/>
  <c r="I70" i="18"/>
  <c r="J70" i="18" s="1"/>
  <c r="I69" i="18"/>
  <c r="J69" i="18" s="1"/>
  <c r="I68" i="18"/>
  <c r="J68" i="18" s="1"/>
  <c r="I67" i="18"/>
  <c r="J67" i="18" s="1"/>
  <c r="I66" i="18"/>
  <c r="J66" i="18" s="1"/>
  <c r="I65" i="18"/>
  <c r="J65" i="18" s="1"/>
  <c r="I64" i="18"/>
  <c r="J64" i="18" s="1"/>
  <c r="C64" i="18"/>
  <c r="H63" i="18"/>
  <c r="J63" i="18" s="1"/>
  <c r="I62" i="18"/>
  <c r="J62" i="18" s="1"/>
  <c r="I61" i="18"/>
  <c r="J61" i="18" s="1"/>
  <c r="I60" i="18"/>
  <c r="J60" i="18" s="1"/>
  <c r="I59" i="18"/>
  <c r="J59" i="18" s="1"/>
  <c r="H58" i="18"/>
  <c r="I57" i="18"/>
  <c r="J57" i="18" s="1"/>
  <c r="I56" i="18"/>
  <c r="J56" i="18" s="1"/>
  <c r="I55" i="18"/>
  <c r="J55" i="18" s="1"/>
  <c r="I54" i="18"/>
  <c r="J54" i="18" s="1"/>
  <c r="H53" i="18"/>
  <c r="J53" i="18" s="1"/>
  <c r="I52" i="18"/>
  <c r="J52" i="18" s="1"/>
  <c r="H51" i="18"/>
  <c r="J51" i="18" s="1"/>
  <c r="I50" i="18"/>
  <c r="J50" i="18" s="1"/>
  <c r="H49" i="18"/>
  <c r="J49" i="18" s="1"/>
  <c r="H48" i="18"/>
  <c r="J48" i="18" s="1"/>
  <c r="I47" i="18"/>
  <c r="J47" i="18" s="1"/>
  <c r="I46" i="18"/>
  <c r="J46" i="18" s="1"/>
  <c r="I45" i="18"/>
  <c r="J45" i="18" s="1"/>
  <c r="H44" i="18"/>
  <c r="J44" i="18" s="1"/>
  <c r="I43" i="18"/>
  <c r="J43" i="18" s="1"/>
  <c r="I42" i="18"/>
  <c r="J42" i="18" s="1"/>
  <c r="I41" i="18"/>
  <c r="J41" i="18" s="1"/>
  <c r="I40" i="18"/>
  <c r="J40" i="18" s="1"/>
  <c r="I39" i="18"/>
  <c r="J39" i="18" s="1"/>
  <c r="H38" i="18"/>
  <c r="J38" i="18" s="1"/>
  <c r="I37" i="18"/>
  <c r="J37" i="18" s="1"/>
  <c r="I36" i="18"/>
  <c r="J36" i="18" s="1"/>
  <c r="I35" i="18"/>
  <c r="J35" i="18" s="1"/>
  <c r="I34" i="18"/>
  <c r="J34" i="18" s="1"/>
  <c r="I33" i="18"/>
  <c r="J33" i="18" s="1"/>
  <c r="I32" i="18"/>
  <c r="J32" i="18" s="1"/>
  <c r="H31" i="18"/>
  <c r="J31" i="18" s="1"/>
  <c r="H30" i="18"/>
  <c r="J30" i="18" s="1"/>
  <c r="I29" i="18"/>
  <c r="J29" i="18" s="1"/>
  <c r="I28" i="18"/>
  <c r="J28" i="18" s="1"/>
  <c r="I27" i="18"/>
  <c r="J27" i="18" s="1"/>
  <c r="I26" i="18"/>
  <c r="J26" i="18" s="1"/>
  <c r="I25" i="18"/>
  <c r="J25" i="18" s="1"/>
  <c r="I24" i="18"/>
  <c r="J24" i="18" s="1"/>
  <c r="I23" i="18"/>
  <c r="J23" i="18" s="1"/>
  <c r="I22" i="18"/>
  <c r="J22" i="18" s="1"/>
  <c r="H21" i="18"/>
  <c r="J21" i="18" s="1"/>
  <c r="I20" i="18"/>
  <c r="J20" i="18" s="1"/>
  <c r="I19" i="18"/>
  <c r="J19" i="18" s="1"/>
  <c r="I18" i="18"/>
  <c r="J18" i="18" s="1"/>
  <c r="I17" i="18"/>
  <c r="J17" i="18" s="1"/>
  <c r="I16" i="18"/>
  <c r="J16" i="18" s="1"/>
  <c r="C16" i="18"/>
  <c r="H15" i="18"/>
  <c r="J15" i="18" s="1"/>
  <c r="I14" i="18"/>
  <c r="J14" i="18" s="1"/>
  <c r="I13" i="18"/>
  <c r="I12" i="18"/>
  <c r="J12" i="18" s="1"/>
  <c r="C12" i="18"/>
  <c r="H11" i="18"/>
  <c r="J11" i="18" s="1"/>
  <c r="H157" i="18" l="1"/>
  <c r="H149" i="18"/>
  <c r="H151" i="18" s="1"/>
  <c r="H152" i="18" s="1"/>
  <c r="I149" i="18"/>
  <c r="J13" i="18"/>
  <c r="J157" i="18" s="1"/>
  <c r="I157" i="18"/>
  <c r="J58" i="18"/>
  <c r="I150" i="18" l="1"/>
  <c r="I152" i="18" s="1"/>
  <c r="J152" i="18" s="1"/>
  <c r="U76" i="13" l="1"/>
  <c r="U75" i="13"/>
  <c r="L76" i="13"/>
  <c r="L74" i="13"/>
  <c r="L75" i="13"/>
  <c r="I75" i="13"/>
  <c r="R76" i="13"/>
  <c r="R75" i="13"/>
  <c r="R74" i="13"/>
  <c r="V74" i="13"/>
  <c r="U74" i="13"/>
  <c r="S74" i="13"/>
  <c r="T74" i="13"/>
  <c r="N74" i="13"/>
  <c r="M74" i="13"/>
  <c r="K74" i="13"/>
  <c r="J74" i="13"/>
  <c r="I74" i="13"/>
  <c r="G66" i="13"/>
  <c r="G62" i="13"/>
  <c r="G63" i="13"/>
  <c r="G64" i="13"/>
  <c r="G65" i="13"/>
  <c r="G61" i="13"/>
  <c r="F62" i="13"/>
  <c r="F64" i="13"/>
  <c r="F65" i="13"/>
  <c r="F61" i="13"/>
  <c r="P15" i="13"/>
  <c r="O16" i="13"/>
  <c r="J16" i="13"/>
  <c r="P9" i="13"/>
  <c r="P10" i="13"/>
  <c r="J9" i="13"/>
  <c r="O15" i="13"/>
  <c r="K15" i="13"/>
  <c r="J15" i="13"/>
  <c r="I15" i="13"/>
  <c r="P8" i="13"/>
  <c r="O8" i="13"/>
  <c r="J8" i="13"/>
  <c r="I8" i="13"/>
  <c r="I10" i="13"/>
  <c r="K45" i="13"/>
  <c r="R40" i="13"/>
  <c r="R42" i="13"/>
  <c r="O40" i="13"/>
  <c r="O42" i="13"/>
  <c r="L40" i="13"/>
  <c r="L42" i="13"/>
  <c r="I40" i="13"/>
  <c r="I42" i="13"/>
  <c r="X30" i="13"/>
  <c r="X32" i="13"/>
  <c r="U30" i="13"/>
  <c r="U32" i="13"/>
  <c r="R30" i="13"/>
  <c r="R32" i="13"/>
  <c r="O30" i="13"/>
  <c r="O32" i="13"/>
  <c r="L30" i="13"/>
  <c r="L32" i="13"/>
  <c r="I30" i="13"/>
  <c r="I32" i="13"/>
  <c r="AA25" i="13"/>
  <c r="AA27" i="13"/>
  <c r="X25" i="13"/>
  <c r="X27" i="13"/>
  <c r="U25" i="13"/>
  <c r="U27" i="13"/>
  <c r="R25" i="13"/>
  <c r="R27" i="13"/>
  <c r="O25" i="13"/>
  <c r="O27" i="13"/>
  <c r="L25" i="13"/>
  <c r="L26" i="13"/>
  <c r="L27" i="13"/>
  <c r="I27" i="13"/>
  <c r="I25" i="13"/>
  <c r="P16" i="13"/>
  <c r="K17" i="13"/>
  <c r="J17" i="13"/>
  <c r="O9" i="13"/>
  <c r="J10" i="13"/>
  <c r="I9" i="13"/>
  <c r="H311" i="12"/>
  <c r="H310" i="12"/>
  <c r="J310" i="12"/>
  <c r="J309" i="12"/>
  <c r="H309" i="12"/>
  <c r="J308" i="12"/>
  <c r="H308" i="12"/>
  <c r="D3" i="11"/>
  <c r="G3" i="11"/>
  <c r="F3" i="11"/>
  <c r="B3" i="11"/>
  <c r="E3" i="11"/>
  <c r="A3" i="11"/>
  <c r="H375" i="9"/>
  <c r="I375" i="9"/>
  <c r="H374" i="9"/>
  <c r="I374" i="9"/>
  <c r="F373" i="9"/>
  <c r="I373" i="9"/>
  <c r="H372" i="9"/>
  <c r="I372" i="9"/>
  <c r="H368" i="9"/>
  <c r="I368" i="9"/>
  <c r="H379" i="9"/>
  <c r="I379" i="9"/>
  <c r="H378" i="9"/>
  <c r="I378" i="9"/>
  <c r="H377" i="9"/>
  <c r="I377" i="9"/>
  <c r="F376" i="9"/>
  <c r="I376" i="9"/>
  <c r="H370" i="9"/>
  <c r="I370" i="9"/>
  <c r="H371" i="9"/>
  <c r="I371" i="9"/>
  <c r="F369" i="9"/>
  <c r="I369" i="9"/>
  <c r="H367" i="9"/>
  <c r="I367" i="9"/>
  <c r="H366" i="9"/>
  <c r="I366" i="9"/>
  <c r="F365" i="9"/>
  <c r="K150" i="9"/>
  <c r="H69" i="9"/>
  <c r="I69" i="9"/>
  <c r="H68" i="9"/>
  <c r="I68" i="9"/>
  <c r="F67" i="9"/>
  <c r="I67" i="9"/>
  <c r="F64" i="9"/>
  <c r="I64" i="9"/>
  <c r="H66" i="9"/>
  <c r="I66" i="9"/>
  <c r="H65" i="9"/>
  <c r="I65" i="9"/>
  <c r="F139" i="9"/>
  <c r="I139" i="9"/>
  <c r="F140" i="9"/>
  <c r="I140" i="9"/>
  <c r="F138" i="9"/>
  <c r="I138" i="9"/>
  <c r="F136" i="9"/>
  <c r="I136" i="9"/>
  <c r="F137" i="9"/>
  <c r="I137" i="9"/>
  <c r="F135" i="9"/>
  <c r="I135" i="9"/>
  <c r="F134" i="9"/>
  <c r="I134" i="9"/>
  <c r="F133" i="9"/>
  <c r="I133" i="9"/>
  <c r="H125" i="9"/>
  <c r="I125" i="9"/>
  <c r="H124" i="9"/>
  <c r="I124" i="9"/>
  <c r="F123" i="9"/>
  <c r="I123" i="9"/>
  <c r="F132" i="9"/>
  <c r="I132" i="9"/>
  <c r="H130" i="9"/>
  <c r="I130" i="9"/>
  <c r="F131" i="9"/>
  <c r="I131" i="9"/>
  <c r="H129" i="9"/>
  <c r="I129" i="9"/>
  <c r="F128" i="9"/>
  <c r="I128" i="9"/>
  <c r="F127" i="9"/>
  <c r="I127" i="9"/>
  <c r="F120" i="9"/>
  <c r="I120" i="9"/>
  <c r="F88" i="9"/>
  <c r="I88" i="9"/>
  <c r="H89" i="9"/>
  <c r="I89" i="9"/>
  <c r="F90" i="9"/>
  <c r="I90" i="9"/>
  <c r="F91" i="9"/>
  <c r="I91" i="9"/>
  <c r="F92" i="9"/>
  <c r="I92" i="9"/>
  <c r="F93" i="9"/>
  <c r="I93" i="9"/>
  <c r="F94" i="9"/>
  <c r="I94" i="9"/>
  <c r="F95" i="9"/>
  <c r="I95" i="9"/>
  <c r="F96" i="9"/>
  <c r="I96" i="9"/>
  <c r="F97" i="9"/>
  <c r="I97" i="9"/>
  <c r="F98" i="9"/>
  <c r="I98" i="9"/>
  <c r="F99" i="9"/>
  <c r="I99" i="9"/>
  <c r="F100" i="9"/>
  <c r="I100" i="9"/>
  <c r="F101" i="9"/>
  <c r="I101" i="9"/>
  <c r="F102" i="9"/>
  <c r="I102" i="9"/>
  <c r="H81" i="9"/>
  <c r="I81" i="9"/>
  <c r="F80" i="9"/>
  <c r="I80" i="9"/>
  <c r="H77" i="9"/>
  <c r="I77" i="9"/>
  <c r="F76" i="9"/>
  <c r="I76" i="9"/>
  <c r="H79" i="9"/>
  <c r="I79" i="9"/>
  <c r="F78" i="9"/>
  <c r="I78" i="9"/>
  <c r="H75" i="9"/>
  <c r="I75" i="9"/>
  <c r="F74" i="9"/>
  <c r="I74" i="9"/>
  <c r="H60" i="9"/>
  <c r="I60" i="9"/>
  <c r="H59" i="9"/>
  <c r="I59" i="9"/>
  <c r="F58" i="9"/>
  <c r="I58" i="9"/>
  <c r="F54" i="9"/>
  <c r="I54" i="9"/>
  <c r="H63" i="9"/>
  <c r="I63" i="9"/>
  <c r="D46" i="9"/>
  <c r="D48" i="9"/>
  <c r="H48" i="9"/>
  <c r="I48" i="9"/>
  <c r="D26" i="9"/>
  <c r="H26" i="9"/>
  <c r="I26" i="9"/>
  <c r="D18" i="9"/>
  <c r="H18" i="9"/>
  <c r="I18" i="9"/>
  <c r="D15" i="9"/>
  <c r="H15" i="9"/>
  <c r="H235" i="9"/>
  <c r="I235" i="9"/>
  <c r="H212" i="9"/>
  <c r="I212" i="9"/>
  <c r="H210" i="9"/>
  <c r="I210" i="9"/>
  <c r="H208" i="9"/>
  <c r="I208" i="9"/>
  <c r="H220" i="9"/>
  <c r="I220" i="9"/>
  <c r="H219" i="9"/>
  <c r="I219" i="9"/>
  <c r="F218" i="9"/>
  <c r="I218" i="9"/>
  <c r="D206" i="9"/>
  <c r="F206" i="9"/>
  <c r="I206" i="9"/>
  <c r="G209" i="9"/>
  <c r="H209" i="9"/>
  <c r="I209" i="9"/>
  <c r="G207" i="9"/>
  <c r="H207" i="9"/>
  <c r="I207" i="9"/>
  <c r="G211" i="9"/>
  <c r="H211" i="9"/>
  <c r="I211" i="9"/>
  <c r="I320" i="9"/>
  <c r="F320" i="9"/>
  <c r="F319" i="9"/>
  <c r="I319" i="9"/>
  <c r="F318" i="9"/>
  <c r="I318" i="9"/>
  <c r="H315" i="9"/>
  <c r="I315" i="9"/>
  <c r="H314" i="9"/>
  <c r="I314" i="9"/>
  <c r="H313" i="9"/>
  <c r="I313" i="9"/>
  <c r="H312" i="9"/>
  <c r="I312" i="9"/>
  <c r="H311" i="9"/>
  <c r="I311" i="9"/>
  <c r="H310" i="9"/>
  <c r="I310" i="9"/>
  <c r="H309" i="9"/>
  <c r="I309" i="9"/>
  <c r="F308" i="9"/>
  <c r="I308" i="9"/>
  <c r="H307" i="9"/>
  <c r="I307" i="9"/>
  <c r="F306" i="9"/>
  <c r="I306" i="9"/>
  <c r="H305" i="9"/>
  <c r="I305" i="9"/>
  <c r="H304" i="9"/>
  <c r="I304" i="9"/>
  <c r="F303" i="9"/>
  <c r="I303" i="9"/>
  <c r="H300" i="9"/>
  <c r="I300" i="9"/>
  <c r="H299" i="9"/>
  <c r="I299" i="9"/>
  <c r="F298" i="9"/>
  <c r="I298" i="9"/>
  <c r="H297" i="9"/>
  <c r="I297" i="9"/>
  <c r="F296" i="9"/>
  <c r="I296" i="9"/>
  <c r="H295" i="9"/>
  <c r="I295" i="9"/>
  <c r="F294" i="9"/>
  <c r="I294" i="9"/>
  <c r="H293" i="9"/>
  <c r="I293" i="9"/>
  <c r="F292" i="9"/>
  <c r="I292" i="9"/>
  <c r="H291" i="9"/>
  <c r="I291" i="9"/>
  <c r="F290" i="9"/>
  <c r="I290" i="9"/>
  <c r="H289" i="9"/>
  <c r="I289" i="9"/>
  <c r="H288" i="9"/>
  <c r="I288" i="9"/>
  <c r="H287" i="9"/>
  <c r="I287" i="9"/>
  <c r="H286" i="9"/>
  <c r="I286" i="9"/>
  <c r="H285" i="9"/>
  <c r="I285" i="9"/>
  <c r="F284" i="9"/>
  <c r="I284" i="9"/>
  <c r="H283" i="9"/>
  <c r="I283" i="9"/>
  <c r="H282" i="9"/>
  <c r="I282" i="9"/>
  <c r="F281" i="9"/>
  <c r="I281" i="9"/>
  <c r="H280" i="9"/>
  <c r="I280" i="9"/>
  <c r="H279" i="9"/>
  <c r="I279" i="9"/>
  <c r="H278" i="9"/>
  <c r="I278" i="9"/>
  <c r="H277" i="9"/>
  <c r="I277" i="9"/>
  <c r="H276" i="9"/>
  <c r="I276" i="9"/>
  <c r="H275" i="9"/>
  <c r="I275" i="9"/>
  <c r="H274" i="9"/>
  <c r="I274" i="9"/>
  <c r="G273" i="9"/>
  <c r="H273" i="9"/>
  <c r="H322" i="9"/>
  <c r="F272" i="9"/>
  <c r="I272" i="9"/>
  <c r="I242" i="9"/>
  <c r="F242" i="9"/>
  <c r="F241" i="9"/>
  <c r="I241" i="9"/>
  <c r="F240" i="9"/>
  <c r="I240" i="9"/>
  <c r="F237" i="9"/>
  <c r="I237" i="9"/>
  <c r="F236" i="9"/>
  <c r="I236" i="9"/>
  <c r="H234" i="9"/>
  <c r="I234" i="9"/>
  <c r="F233" i="9"/>
  <c r="I233" i="9"/>
  <c r="H232" i="9"/>
  <c r="I232" i="9"/>
  <c r="F231" i="9"/>
  <c r="I231" i="9"/>
  <c r="H230" i="9"/>
  <c r="I230" i="9"/>
  <c r="F229" i="9"/>
  <c r="I229" i="9"/>
  <c r="H228" i="9"/>
  <c r="I228" i="9"/>
  <c r="H227" i="9"/>
  <c r="I227" i="9"/>
  <c r="H226" i="9"/>
  <c r="I226" i="9"/>
  <c r="F225" i="9"/>
  <c r="I225" i="9"/>
  <c r="H224" i="9"/>
  <c r="I224" i="9"/>
  <c r="H223" i="9"/>
  <c r="I223" i="9"/>
  <c r="H222" i="9"/>
  <c r="I222" i="9"/>
  <c r="F221" i="9"/>
  <c r="I221" i="9"/>
  <c r="H217" i="9"/>
  <c r="I217" i="9"/>
  <c r="H216" i="9"/>
  <c r="I216" i="9"/>
  <c r="H215" i="9"/>
  <c r="I215" i="9"/>
  <c r="H214" i="9"/>
  <c r="I214" i="9"/>
  <c r="F213" i="9"/>
  <c r="I213" i="9"/>
  <c r="F205" i="9"/>
  <c r="I205" i="9"/>
  <c r="H204" i="9"/>
  <c r="I204" i="9"/>
  <c r="F203" i="9"/>
  <c r="I203" i="9"/>
  <c r="H202" i="9"/>
  <c r="I202" i="9"/>
  <c r="H201" i="9"/>
  <c r="I201" i="9"/>
  <c r="H200" i="9"/>
  <c r="I200" i="9"/>
  <c r="H199" i="9"/>
  <c r="I199" i="9"/>
  <c r="H198" i="9"/>
  <c r="I198" i="9"/>
  <c r="H197" i="9"/>
  <c r="I197" i="9"/>
  <c r="H196" i="9"/>
  <c r="I196" i="9"/>
  <c r="H195" i="9"/>
  <c r="I195" i="9"/>
  <c r="H194" i="9"/>
  <c r="I194" i="9"/>
  <c r="G193" i="9"/>
  <c r="H193" i="9"/>
  <c r="I193" i="9"/>
  <c r="G192" i="9"/>
  <c r="H192" i="9"/>
  <c r="I192" i="9"/>
  <c r="F191" i="9"/>
  <c r="I191" i="9"/>
  <c r="H190" i="9"/>
  <c r="I190" i="9"/>
  <c r="H189" i="9"/>
  <c r="I189" i="9"/>
  <c r="H188" i="9"/>
  <c r="I188" i="9"/>
  <c r="H187" i="9"/>
  <c r="I187" i="9"/>
  <c r="H186" i="9"/>
  <c r="I186" i="9"/>
  <c r="H185" i="9"/>
  <c r="I185" i="9"/>
  <c r="H184" i="9"/>
  <c r="I184" i="9"/>
  <c r="H183" i="9"/>
  <c r="I183" i="9"/>
  <c r="F182" i="9"/>
  <c r="I182" i="9"/>
  <c r="H181" i="9"/>
  <c r="I181" i="9"/>
  <c r="H180" i="9"/>
  <c r="F179" i="9"/>
  <c r="I122" i="9"/>
  <c r="I121" i="9"/>
  <c r="F47" i="9"/>
  <c r="I47" i="9"/>
  <c r="H119" i="9"/>
  <c r="I119" i="9"/>
  <c r="F44" i="9"/>
  <c r="I44" i="9"/>
  <c r="F39" i="9"/>
  <c r="I39" i="9"/>
  <c r="F32" i="9"/>
  <c r="I32" i="9"/>
  <c r="F14" i="9"/>
  <c r="I14" i="9"/>
  <c r="F16" i="9"/>
  <c r="I16" i="9"/>
  <c r="F50" i="9"/>
  <c r="I50" i="9"/>
  <c r="F53" i="9"/>
  <c r="I53" i="9"/>
  <c r="F56" i="9"/>
  <c r="I56" i="9"/>
  <c r="F61" i="9"/>
  <c r="I61" i="9"/>
  <c r="F70" i="9"/>
  <c r="I70" i="9"/>
  <c r="F71" i="9"/>
  <c r="I71" i="9"/>
  <c r="F84" i="9"/>
  <c r="I84" i="9"/>
  <c r="F86" i="9"/>
  <c r="I86" i="9"/>
  <c r="F103" i="9"/>
  <c r="I103" i="9"/>
  <c r="F106" i="9"/>
  <c r="I106" i="9"/>
  <c r="F108" i="9"/>
  <c r="I108" i="9"/>
  <c r="F111" i="9"/>
  <c r="I111" i="9"/>
  <c r="F115" i="9"/>
  <c r="I115" i="9"/>
  <c r="F118" i="9"/>
  <c r="I118" i="9"/>
  <c r="F143" i="9"/>
  <c r="I143" i="9"/>
  <c r="F144" i="9"/>
  <c r="I144" i="9"/>
  <c r="F145" i="9"/>
  <c r="I145" i="9"/>
  <c r="F146" i="9"/>
  <c r="F17" i="9"/>
  <c r="I17" i="9"/>
  <c r="H30" i="9"/>
  <c r="I30" i="9"/>
  <c r="H34" i="9"/>
  <c r="I34" i="9"/>
  <c r="H40" i="9"/>
  <c r="I40" i="9"/>
  <c r="H41" i="9"/>
  <c r="I41" i="9"/>
  <c r="H42" i="9"/>
  <c r="I42" i="9"/>
  <c r="H49" i="9"/>
  <c r="I49" i="9"/>
  <c r="H57" i="9"/>
  <c r="I57" i="9"/>
  <c r="H110" i="9"/>
  <c r="I110" i="9"/>
  <c r="H113" i="9"/>
  <c r="I113" i="9"/>
  <c r="H33" i="9"/>
  <c r="I33" i="9"/>
  <c r="H35" i="9"/>
  <c r="I35" i="9"/>
  <c r="H43" i="9"/>
  <c r="I43" i="9"/>
  <c r="H51" i="9"/>
  <c r="I51" i="9"/>
  <c r="H55" i="9"/>
  <c r="I55" i="9"/>
  <c r="H62" i="9"/>
  <c r="I62" i="9"/>
  <c r="H72" i="9"/>
  <c r="I72" i="9"/>
  <c r="H73" i="9"/>
  <c r="I73" i="9"/>
  <c r="H85" i="9"/>
  <c r="I85" i="9"/>
  <c r="H87" i="9"/>
  <c r="I87" i="9"/>
  <c r="H104" i="9"/>
  <c r="I104" i="9"/>
  <c r="H105" i="9"/>
  <c r="I105" i="9"/>
  <c r="H107" i="9"/>
  <c r="I107" i="9"/>
  <c r="H109" i="9"/>
  <c r="I109" i="9"/>
  <c r="H112" i="9"/>
  <c r="I112" i="9"/>
  <c r="H114" i="9"/>
  <c r="I114" i="9"/>
  <c r="H116" i="9"/>
  <c r="I116" i="9"/>
  <c r="H117" i="9"/>
  <c r="I117" i="9"/>
  <c r="I146" i="9"/>
  <c r="I150" i="4"/>
  <c r="J150" i="4"/>
  <c r="L150" i="4"/>
  <c r="I149" i="4"/>
  <c r="J149" i="4"/>
  <c r="L149" i="4"/>
  <c r="I148" i="4"/>
  <c r="J148" i="4"/>
  <c r="L148" i="4"/>
  <c r="I147" i="4"/>
  <c r="J147" i="4"/>
  <c r="L147" i="4"/>
  <c r="I146" i="4"/>
  <c r="J146" i="4"/>
  <c r="L146" i="4"/>
  <c r="I145" i="4"/>
  <c r="J145" i="4"/>
  <c r="L145" i="4"/>
  <c r="I144" i="4"/>
  <c r="J144" i="4"/>
  <c r="L144" i="4"/>
  <c r="I143" i="4"/>
  <c r="J143" i="4"/>
  <c r="L143" i="4"/>
  <c r="G142" i="4"/>
  <c r="L142" i="4"/>
  <c r="I141" i="4"/>
  <c r="J141" i="4"/>
  <c r="L141" i="4"/>
  <c r="I140" i="4"/>
  <c r="J140" i="4"/>
  <c r="L140" i="4"/>
  <c r="I139" i="4"/>
  <c r="J139" i="4"/>
  <c r="L139" i="4"/>
  <c r="I138" i="4"/>
  <c r="J138" i="4"/>
  <c r="L138" i="4"/>
  <c r="I137" i="4"/>
  <c r="J137" i="4"/>
  <c r="L137" i="4"/>
  <c r="I136" i="4"/>
  <c r="J136" i="4"/>
  <c r="L136" i="4"/>
  <c r="I135" i="4"/>
  <c r="J135" i="4"/>
  <c r="L135" i="4"/>
  <c r="I134" i="4"/>
  <c r="J134" i="4"/>
  <c r="L134" i="4"/>
  <c r="I133" i="4"/>
  <c r="J133" i="4"/>
  <c r="L133" i="4"/>
  <c r="G132" i="4"/>
  <c r="L132" i="4"/>
  <c r="G131" i="4"/>
  <c r="L131" i="4"/>
  <c r="J129" i="4"/>
  <c r="K129" i="4"/>
  <c r="L129" i="4"/>
  <c r="G128" i="4"/>
  <c r="H128" i="4"/>
  <c r="L128" i="4"/>
  <c r="H126" i="4"/>
  <c r="L126" i="4"/>
  <c r="J127" i="4"/>
  <c r="K127" i="4"/>
  <c r="L127" i="4"/>
  <c r="J125" i="4"/>
  <c r="K125" i="4"/>
  <c r="L125" i="4"/>
  <c r="J124" i="4"/>
  <c r="K124" i="4"/>
  <c r="L124" i="4"/>
  <c r="J123" i="4"/>
  <c r="K123" i="4"/>
  <c r="L123" i="4"/>
  <c r="H122" i="4"/>
  <c r="L122" i="4"/>
  <c r="D117" i="4"/>
  <c r="K117" i="4"/>
  <c r="L117" i="4"/>
  <c r="D120" i="4"/>
  <c r="K120" i="4"/>
  <c r="L120" i="4"/>
  <c r="J117" i="4"/>
  <c r="K121" i="4"/>
  <c r="L121" i="4"/>
  <c r="J120" i="4"/>
  <c r="J119" i="4"/>
  <c r="K119" i="4"/>
  <c r="L119" i="4"/>
  <c r="G118" i="4"/>
  <c r="H118" i="4"/>
  <c r="L118" i="4"/>
  <c r="J116" i="4"/>
  <c r="K116" i="4"/>
  <c r="L116" i="4"/>
  <c r="G115" i="4"/>
  <c r="H115" i="4"/>
  <c r="L115" i="4"/>
  <c r="J72" i="4"/>
  <c r="K72" i="4"/>
  <c r="L72" i="4"/>
  <c r="G109" i="4"/>
  <c r="H109" i="4"/>
  <c r="L109" i="4"/>
  <c r="J114" i="4"/>
  <c r="K114" i="4"/>
  <c r="L114" i="4"/>
  <c r="G113" i="4"/>
  <c r="H113" i="4"/>
  <c r="L113" i="4"/>
  <c r="K112" i="4"/>
  <c r="L112" i="4"/>
  <c r="J111" i="4"/>
  <c r="K111" i="4"/>
  <c r="L111" i="4"/>
  <c r="J110" i="4"/>
  <c r="K110" i="4"/>
  <c r="L110" i="4"/>
  <c r="J108" i="4"/>
  <c r="K108" i="4"/>
  <c r="L108" i="4"/>
  <c r="J107" i="4"/>
  <c r="K107" i="4"/>
  <c r="L107" i="4"/>
  <c r="J106" i="4"/>
  <c r="K106" i="4"/>
  <c r="L106" i="4"/>
  <c r="J105" i="4"/>
  <c r="K105" i="4"/>
  <c r="L105" i="4"/>
  <c r="J104" i="4"/>
  <c r="K104" i="4"/>
  <c r="L104" i="4"/>
  <c r="J103" i="4"/>
  <c r="K103" i="4"/>
  <c r="L103" i="4"/>
  <c r="J102" i="4"/>
  <c r="K102" i="4"/>
  <c r="L102" i="4"/>
  <c r="J98" i="4"/>
  <c r="K98" i="4"/>
  <c r="L98" i="4"/>
  <c r="J97" i="4"/>
  <c r="K97" i="4"/>
  <c r="L97" i="4"/>
  <c r="G96" i="4"/>
  <c r="H96" i="4"/>
  <c r="L96" i="4"/>
  <c r="G94" i="4"/>
  <c r="H94" i="4"/>
  <c r="L94" i="4"/>
  <c r="J95" i="4"/>
  <c r="K95" i="4"/>
  <c r="L95" i="4"/>
  <c r="J93" i="4"/>
  <c r="K93" i="4"/>
  <c r="L93" i="4"/>
  <c r="J91" i="4"/>
  <c r="K91" i="4"/>
  <c r="L91" i="4"/>
  <c r="H92" i="4"/>
  <c r="L92" i="4"/>
  <c r="J77" i="4"/>
  <c r="K77" i="4"/>
  <c r="L77" i="4"/>
  <c r="G76" i="4"/>
  <c r="H76" i="4"/>
  <c r="L76" i="4"/>
  <c r="H90" i="4"/>
  <c r="L90" i="4"/>
  <c r="D82" i="4"/>
  <c r="H82" i="4"/>
  <c r="L82" i="4"/>
  <c r="D83" i="4"/>
  <c r="J83" i="4"/>
  <c r="K83" i="4"/>
  <c r="L83" i="4"/>
  <c r="G82" i="4"/>
  <c r="J89" i="4"/>
  <c r="K89" i="4"/>
  <c r="L89" i="4"/>
  <c r="G88" i="4"/>
  <c r="H88" i="4"/>
  <c r="L88" i="4"/>
  <c r="J87" i="4"/>
  <c r="K87" i="4"/>
  <c r="L87" i="4"/>
  <c r="H86" i="4"/>
  <c r="L86" i="4"/>
  <c r="K85" i="4"/>
  <c r="L85" i="4"/>
  <c r="G84" i="4"/>
  <c r="H84" i="4"/>
  <c r="L84" i="4"/>
  <c r="J81" i="4"/>
  <c r="K81" i="4"/>
  <c r="L81" i="4"/>
  <c r="J80" i="4"/>
  <c r="K80" i="4"/>
  <c r="L80" i="4"/>
  <c r="G79" i="4"/>
  <c r="H79" i="4"/>
  <c r="L79" i="4"/>
  <c r="G78" i="4"/>
  <c r="H78" i="4"/>
  <c r="L78" i="4"/>
  <c r="G69" i="4"/>
  <c r="H69" i="4"/>
  <c r="L69" i="4"/>
  <c r="D75" i="4"/>
  <c r="J75" i="4"/>
  <c r="K75" i="4"/>
  <c r="L75" i="4"/>
  <c r="J74" i="4"/>
  <c r="K74" i="4"/>
  <c r="L74" i="4"/>
  <c r="G73" i="4"/>
  <c r="H73" i="4"/>
  <c r="L73" i="4"/>
  <c r="J67" i="4"/>
  <c r="K67" i="4"/>
  <c r="L67" i="4"/>
  <c r="G70" i="4"/>
  <c r="H70" i="4"/>
  <c r="L70" i="4"/>
  <c r="D71" i="4"/>
  <c r="K71" i="4"/>
  <c r="L71" i="4"/>
  <c r="J71" i="4"/>
  <c r="H42" i="4"/>
  <c r="L42" i="4"/>
  <c r="G42" i="4"/>
  <c r="G66" i="4"/>
  <c r="H66" i="4"/>
  <c r="L66" i="4"/>
  <c r="J45" i="4"/>
  <c r="K45" i="4"/>
  <c r="L45" i="4"/>
  <c r="J47" i="4"/>
  <c r="J50" i="4"/>
  <c r="J51" i="4"/>
  <c r="J53" i="4"/>
  <c r="K53" i="4"/>
  <c r="L53" i="4"/>
  <c r="J55" i="4"/>
  <c r="J43" i="4"/>
  <c r="K43" i="4"/>
  <c r="L43" i="4"/>
  <c r="J22" i="4"/>
  <c r="K22" i="4"/>
  <c r="L22" i="4"/>
  <c r="D56" i="4"/>
  <c r="D57" i="4"/>
  <c r="K57" i="4"/>
  <c r="L57" i="4"/>
  <c r="D65" i="4"/>
  <c r="I65" i="4"/>
  <c r="D64" i="4"/>
  <c r="I64" i="4"/>
  <c r="K64" i="4"/>
  <c r="L64" i="4"/>
  <c r="J62" i="4"/>
  <c r="G63" i="4"/>
  <c r="G61" i="4"/>
  <c r="G27" i="4"/>
  <c r="H27" i="4"/>
  <c r="J60" i="4"/>
  <c r="K60" i="4"/>
  <c r="L60" i="4"/>
  <c r="J59" i="4"/>
  <c r="J57" i="4"/>
  <c r="G56" i="4"/>
  <c r="H56" i="4"/>
  <c r="L56" i="4"/>
  <c r="G58" i="4"/>
  <c r="D58" i="4"/>
  <c r="D61" i="4"/>
  <c r="D60" i="4"/>
  <c r="D54" i="4"/>
  <c r="G54" i="4"/>
  <c r="D51" i="4"/>
  <c r="D50" i="4"/>
  <c r="K50" i="4"/>
  <c r="L50" i="4"/>
  <c r="D52" i="4"/>
  <c r="H49" i="4"/>
  <c r="L49" i="4"/>
  <c r="G49" i="4"/>
  <c r="I52" i="4"/>
  <c r="J52" i="4"/>
  <c r="K52" i="4"/>
  <c r="L52" i="4"/>
  <c r="I48" i="4"/>
  <c r="J48" i="4"/>
  <c r="G46" i="4"/>
  <c r="D46" i="4"/>
  <c r="D47" i="4"/>
  <c r="K47" i="4"/>
  <c r="L47" i="4"/>
  <c r="D48" i="4"/>
  <c r="K48" i="4"/>
  <c r="L48" i="4"/>
  <c r="D44" i="4"/>
  <c r="K44" i="4"/>
  <c r="L44" i="4"/>
  <c r="I44" i="4"/>
  <c r="J44" i="4"/>
  <c r="D35" i="4"/>
  <c r="D40" i="4"/>
  <c r="K40" i="4"/>
  <c r="L40" i="4"/>
  <c r="I37" i="4"/>
  <c r="D27" i="4"/>
  <c r="D32" i="4"/>
  <c r="K32" i="4"/>
  <c r="L32" i="4"/>
  <c r="D31" i="4"/>
  <c r="D24" i="4"/>
  <c r="K24" i="4"/>
  <c r="L24" i="4"/>
  <c r="J25" i="4"/>
  <c r="D25" i="4"/>
  <c r="K25" i="4"/>
  <c r="L25" i="4"/>
  <c r="J24" i="4"/>
  <c r="H23" i="4"/>
  <c r="L23" i="4"/>
  <c r="D17" i="4"/>
  <c r="G17" i="4"/>
  <c r="G19" i="4"/>
  <c r="H19" i="4"/>
  <c r="L19" i="4"/>
  <c r="G18" i="4"/>
  <c r="H18" i="4"/>
  <c r="L18" i="4"/>
  <c r="G14" i="4"/>
  <c r="G15" i="4"/>
  <c r="H15" i="4"/>
  <c r="L15" i="4"/>
  <c r="G16" i="4"/>
  <c r="H16" i="4"/>
  <c r="L16" i="4"/>
  <c r="G13" i="4"/>
  <c r="D14" i="4"/>
  <c r="D13" i="4"/>
  <c r="D21" i="4"/>
  <c r="F21" i="4"/>
  <c r="H156" i="4"/>
  <c r="H154" i="4"/>
  <c r="H155" i="4"/>
  <c r="L155" i="4"/>
  <c r="H153" i="4"/>
  <c r="L153" i="4"/>
  <c r="L156" i="4"/>
  <c r="J38" i="4"/>
  <c r="K38" i="4"/>
  <c r="L38" i="4"/>
  <c r="J31" i="4"/>
  <c r="K31" i="4"/>
  <c r="L31" i="4"/>
  <c r="J30" i="4"/>
  <c r="D37" i="4"/>
  <c r="K51" i="4"/>
  <c r="L51" i="4"/>
  <c r="D30" i="4"/>
  <c r="K30" i="4"/>
  <c r="L30" i="4"/>
  <c r="H13" i="4"/>
  <c r="L13" i="4"/>
  <c r="H14" i="4"/>
  <c r="L14" i="4"/>
  <c r="D33" i="4"/>
  <c r="K33" i="4"/>
  <c r="L33" i="4"/>
  <c r="D36" i="4"/>
  <c r="K36" i="4"/>
  <c r="L36" i="4"/>
  <c r="H46" i="4"/>
  <c r="L46" i="4"/>
  <c r="D41" i="4"/>
  <c r="K41" i="4"/>
  <c r="L41" i="4"/>
  <c r="D39" i="4"/>
  <c r="K39" i="4"/>
  <c r="L39" i="4"/>
  <c r="H26" i="4"/>
  <c r="L26" i="4"/>
  <c r="H17" i="4"/>
  <c r="L17" i="4"/>
  <c r="F82" i="9"/>
  <c r="I82" i="9"/>
  <c r="F36" i="9"/>
  <c r="I36" i="9"/>
  <c r="H83" i="9"/>
  <c r="I83" i="9"/>
  <c r="H45" i="9"/>
  <c r="I45" i="9"/>
  <c r="H24" i="9"/>
  <c r="I24" i="9"/>
  <c r="H23" i="9"/>
  <c r="I23" i="9"/>
  <c r="H22" i="9"/>
  <c r="I22" i="9"/>
  <c r="H21" i="9"/>
  <c r="I21" i="9"/>
  <c r="H20" i="9"/>
  <c r="I20" i="9"/>
  <c r="H19" i="9"/>
  <c r="I19" i="9"/>
  <c r="H29" i="9"/>
  <c r="I29" i="9"/>
  <c r="F25" i="9"/>
  <c r="I25" i="9"/>
  <c r="H28" i="9"/>
  <c r="I28" i="9"/>
  <c r="H27" i="9"/>
  <c r="I27" i="9"/>
  <c r="H37" i="9"/>
  <c r="I37" i="9"/>
  <c r="H38" i="9"/>
  <c r="I38" i="9"/>
  <c r="H31" i="9"/>
  <c r="I31" i="9"/>
  <c r="H58" i="4"/>
  <c r="L58" i="4"/>
  <c r="D29" i="4"/>
  <c r="K29" i="4"/>
  <c r="L29" i="4"/>
  <c r="H35" i="4"/>
  <c r="D38" i="4"/>
  <c r="D55" i="4"/>
  <c r="K55" i="4"/>
  <c r="L55" i="4"/>
  <c r="H54" i="4"/>
  <c r="L54" i="4"/>
  <c r="J65" i="4"/>
  <c r="K65" i="4"/>
  <c r="L65" i="4"/>
  <c r="L35" i="4"/>
  <c r="D63" i="4"/>
  <c r="H63" i="4"/>
  <c r="L63" i="4"/>
  <c r="D62" i="4"/>
  <c r="K62" i="4"/>
  <c r="L62" i="4"/>
  <c r="H61" i="4"/>
  <c r="L61" i="4"/>
  <c r="L27" i="4"/>
  <c r="D34" i="4"/>
  <c r="K34" i="4"/>
  <c r="L34" i="4"/>
  <c r="D59" i="4"/>
  <c r="K59" i="4"/>
  <c r="L59" i="4"/>
  <c r="J37" i="4"/>
  <c r="K37" i="4"/>
  <c r="L37" i="4"/>
  <c r="J64" i="4"/>
  <c r="H21" i="4"/>
  <c r="L21" i="4"/>
  <c r="D28" i="4"/>
  <c r="K28" i="4"/>
  <c r="K158" i="4"/>
  <c r="L28" i="4"/>
  <c r="H158" i="4"/>
  <c r="H161" i="4"/>
  <c r="H160" i="4"/>
  <c r="H162" i="4"/>
  <c r="L162" i="4"/>
  <c r="L158" i="4"/>
  <c r="K161" i="4"/>
  <c r="K159" i="4"/>
  <c r="K162" i="4"/>
  <c r="F46" i="9"/>
  <c r="I46" i="9"/>
  <c r="I180" i="9"/>
  <c r="I179" i="9"/>
  <c r="I273" i="9"/>
  <c r="H382" i="9"/>
  <c r="F244" i="9"/>
  <c r="K90" i="9"/>
  <c r="F382" i="9"/>
  <c r="F385" i="9"/>
  <c r="I15" i="9"/>
  <c r="H148" i="9"/>
  <c r="I147" i="9"/>
  <c r="F245" i="9"/>
  <c r="F247" i="9"/>
  <c r="H244" i="9"/>
  <c r="H324" i="9"/>
  <c r="H325" i="9"/>
  <c r="H326" i="9"/>
  <c r="I365" i="9"/>
  <c r="F148" i="9"/>
  <c r="F322" i="9"/>
  <c r="F248" i="9"/>
  <c r="F383" i="9"/>
  <c r="F386" i="9"/>
  <c r="H246" i="9"/>
  <c r="H247" i="9"/>
  <c r="H248" i="9"/>
  <c r="I248" i="9"/>
  <c r="I249" i="9"/>
  <c r="I250" i="9"/>
  <c r="I244" i="9"/>
  <c r="H150" i="9"/>
  <c r="H151" i="9"/>
  <c r="H152" i="9"/>
  <c r="F323" i="9"/>
  <c r="F326" i="9"/>
  <c r="I326" i="9"/>
  <c r="I327" i="9"/>
  <c r="I328" i="9"/>
  <c r="I322" i="9"/>
  <c r="F325" i="9"/>
  <c r="F151" i="9"/>
  <c r="F149" i="9"/>
  <c r="F152" i="9"/>
  <c r="H385" i="9"/>
  <c r="H384" i="9"/>
  <c r="I382" i="9"/>
  <c r="I347" i="9"/>
  <c r="G176" i="9"/>
  <c r="G269" i="9"/>
  <c r="I348" i="9"/>
  <c r="I152" i="9"/>
  <c r="H386" i="9"/>
  <c r="I386" i="9"/>
  <c r="G362" i="9"/>
  <c r="I154" i="9"/>
  <c r="I346" i="9"/>
  <c r="I349" i="9"/>
  <c r="I155" i="9"/>
  <c r="G11" i="9"/>
  <c r="I312" i="12"/>
  <c r="H312" i="12"/>
  <c r="J312" i="12"/>
  <c r="H315" i="12"/>
  <c r="H313" i="12"/>
  <c r="I314" i="12"/>
  <c r="I316" i="12"/>
  <c r="I317" i="12"/>
  <c r="H317" i="12"/>
  <c r="J318" i="12"/>
  <c r="K10" i="13"/>
  <c r="K35" i="13"/>
  <c r="P17" i="13"/>
  <c r="O17" i="13"/>
  <c r="R17" i="13"/>
  <c r="I17" i="13"/>
  <c r="L17" i="13"/>
  <c r="O10" i="13"/>
  <c r="Q10" i="13"/>
  <c r="K20" i="13"/>
  <c r="M48" i="13"/>
  <c r="W74" i="13"/>
</calcChain>
</file>

<file path=xl/sharedStrings.xml><?xml version="1.0" encoding="utf-8"?>
<sst xmlns="http://schemas.openxmlformats.org/spreadsheetml/2006/main" count="1388" uniqueCount="513">
  <si>
    <t>№</t>
  </si>
  <si>
    <t>Наименование работ</t>
  </si>
  <si>
    <t>Кол-во</t>
  </si>
  <si>
    <t>шт.</t>
  </si>
  <si>
    <t>конт.</t>
  </si>
  <si>
    <t>Прозводство нестадартных работ</t>
  </si>
  <si>
    <t>чел/час</t>
  </si>
  <si>
    <t xml:space="preserve">Вынос мусора (контейнер 8 м3) </t>
  </si>
  <si>
    <t>ЗАКАЗЧИК:</t>
  </si>
  <si>
    <t>ПОДРЯДЧИК:</t>
  </si>
  <si>
    <t>Ед. изм.</t>
  </si>
  <si>
    <t>тн.</t>
  </si>
  <si>
    <t>Рагрузка и подъем материалов</t>
  </si>
  <si>
    <t>Стоимость единицы работ, руб.</t>
  </si>
  <si>
    <t>Стоимость работы за весь объем, руб</t>
  </si>
  <si>
    <t>Стоимость единицы материала,руб.</t>
  </si>
  <si>
    <t>Стоимость материала на весь объем,руб.</t>
  </si>
  <si>
    <t>Цена работы включая материал, руб</t>
  </si>
  <si>
    <t>м.п.</t>
  </si>
  <si>
    <t>кг</t>
  </si>
  <si>
    <t>м.кв.</t>
  </si>
  <si>
    <t>Фиброволокно полипропиленовое</t>
  </si>
  <si>
    <t>Пескобетонная смесь Holcim М300 в мешках по 40 кг</t>
  </si>
  <si>
    <t>т</t>
  </si>
  <si>
    <t>Устройство перегородок из ГКЛ в 2 слоя с двух сторон по металлическому каркасу, с звукоизоляцией 50мм</t>
  </si>
  <si>
    <t>Профиль направляющий Кнауф 60х27х0,6</t>
  </si>
  <si>
    <t>Профиль направляющий Кнауф 27х28х0,6</t>
  </si>
  <si>
    <t>Шуруп TN25</t>
  </si>
  <si>
    <t>Шуруп TN35</t>
  </si>
  <si>
    <t>Лента бумажная для швов</t>
  </si>
  <si>
    <t>л</t>
  </si>
  <si>
    <t>Грунтовка универсальная Ceresit CT17, 10 л</t>
  </si>
  <si>
    <t>Гипсовая штукатурная смесь Ротбанд</t>
  </si>
  <si>
    <t>Итого по разделу:</t>
  </si>
  <si>
    <t>%</t>
  </si>
  <si>
    <t>Итого по разделу с учетом всех расходов:</t>
  </si>
  <si>
    <t xml:space="preserve">Коэффициент стесненности </t>
  </si>
  <si>
    <t>Накладные расходы 10% от стоимости работ</t>
  </si>
  <si>
    <t>СМЕТА</t>
  </si>
  <si>
    <t>Согласовано:</t>
  </si>
  <si>
    <t>Утверждено:</t>
  </si>
  <si>
    <t>м.кв</t>
  </si>
  <si>
    <t>Vetonit LR+</t>
  </si>
  <si>
    <t>Электромонтажные работы</t>
  </si>
  <si>
    <t>шт</t>
  </si>
  <si>
    <t>Труба гофрированная Экопласт ПВХ с зондом D16 мм ( с учетом запаса 2%)</t>
  </si>
  <si>
    <t>Дюбель-гвоздь Hard-Fix/Wenzo 6x40 мм</t>
  </si>
  <si>
    <t>Подрозетник Legrand, 65х40 мм</t>
  </si>
  <si>
    <t>Алебастр Axton</t>
  </si>
  <si>
    <t>Монтаж распаечных коробок Schneider Electrik, 100x100x50, IP55</t>
  </si>
  <si>
    <t>Распределительная коробка, влагостойкая IP55, открытой установки 100x100x50мм, Schneider Electrik</t>
  </si>
  <si>
    <t>Кабель компьютерный LegrandFTP 4х2х0.52 5е экранированный (С учетом запаса 2%)</t>
  </si>
  <si>
    <t>Монтаж розеток 220В</t>
  </si>
  <si>
    <t>Розетки Legrand Etika (Этика) цвет — алюминий</t>
  </si>
  <si>
    <t>Монтаж выключателей одноклавишных</t>
  </si>
  <si>
    <t>Legrand Выключатель Etika, IP20, простой 1 клавишный, с подсветкой (Алюминий)</t>
  </si>
  <si>
    <t>Клемма Wago 2 разъема под провода 12.4х14.5х20.5 мм, полиамид</t>
  </si>
  <si>
    <t>Беспроводной роутер D-LINK DIR-815, черный</t>
  </si>
  <si>
    <t>Монтаж и подключение роутера WiFi под потолком</t>
  </si>
  <si>
    <t>LEGRAND 004834 Клеемная колодка</t>
  </si>
  <si>
    <t xml:space="preserve">Шина нулевая </t>
  </si>
  <si>
    <t>Шина заземления</t>
  </si>
  <si>
    <t>Наконечники для проводов, трехцветные</t>
  </si>
  <si>
    <t>Провод ВВГНГ 3*6, трехцветный, Севкабель</t>
  </si>
  <si>
    <t>Изолента трехцветная</t>
  </si>
  <si>
    <t>Сопутствующие работы</t>
  </si>
  <si>
    <t>Обратная заделка штраб гипсовой смесью</t>
  </si>
  <si>
    <t>Сметная прибыль 10% от стоимости работ и материалов</t>
  </si>
  <si>
    <t>Вывоз мусора контейнером</t>
  </si>
  <si>
    <t>Шпаклёвка финишная Knauf Ротбанд Паста Профи</t>
  </si>
  <si>
    <t>Финишная шпаклевка стен и перегородок винилловым составом  Rotband Pasta profi</t>
  </si>
  <si>
    <t>Стеклохолст малярный «Паутинка» 1х50 м 25 г/м2</t>
  </si>
  <si>
    <t>множитель</t>
  </si>
  <si>
    <t>м</t>
  </si>
  <si>
    <t>Угольник 16х16 мм</t>
  </si>
  <si>
    <t>Транспортные расходы 5% от стоимости материалов</t>
  </si>
  <si>
    <t>м2</t>
  </si>
  <si>
    <t xml:space="preserve">Крепеж труб 16мм </t>
  </si>
  <si>
    <t>Водоснабжение</t>
  </si>
  <si>
    <t>Прокладка трубопроводов ХВС</t>
  </si>
  <si>
    <t>Прокладка трубопроводов ГВС</t>
  </si>
  <si>
    <t>Угольник настенный 16-Rp 1/2</t>
  </si>
  <si>
    <t>Тройник 16х16х16 мм</t>
  </si>
  <si>
    <t>Заглушка R 1/2"</t>
  </si>
  <si>
    <t>Прокладка трубопровода канализации 50мм</t>
  </si>
  <si>
    <t>Труба канализационная  50х1000</t>
  </si>
  <si>
    <t>Труба канализационная  50х500</t>
  </si>
  <si>
    <t>Труба канализационная  50х250</t>
  </si>
  <si>
    <t>Отвод 50*45</t>
  </si>
  <si>
    <t>Отвод 50*90</t>
  </si>
  <si>
    <t>Муфта 110*50</t>
  </si>
  <si>
    <t>Заглушка 50</t>
  </si>
  <si>
    <t>Хомут 50</t>
  </si>
  <si>
    <t>Гибкая подводка 1/2" 0,5м</t>
  </si>
  <si>
    <t>цена</t>
  </si>
  <si>
    <t>Кабель ППГнг-HF 3x1,5  (Конкорд) (С учетом запаса 2%)</t>
  </si>
  <si>
    <t>Лампа светодиодная Osram свет тёплый белый</t>
  </si>
  <si>
    <t>Монтаж трековой системы</t>
  </si>
  <si>
    <t>Монтаж встраиваемых потолочных светодиодных светильников (600х600)</t>
  </si>
  <si>
    <t>Автоматический выключатель ABB 1-полюсный S201 C10 (автомат)</t>
  </si>
  <si>
    <t xml:space="preserve">Плита минералловатная Лайт баттс </t>
  </si>
  <si>
    <t>м п</t>
  </si>
  <si>
    <t>Работы по демонтажу существующих покрытий</t>
  </si>
  <si>
    <t>Демонтаж существующей напольной плитки</t>
  </si>
  <si>
    <t>Демонтаж плинтусов из керамогранита</t>
  </si>
  <si>
    <t xml:space="preserve">Демонтаж подвесных потолков типа Армстронг с демонтажем каркасов </t>
  </si>
  <si>
    <t xml:space="preserve">Демонтаж существующих перегородок из ГКЛ с каркасами, толщиной 120-160мм и разборкой шумоизоляции из минплиты </t>
  </si>
  <si>
    <t xml:space="preserve">Демонтаж кабельных каналлов </t>
  </si>
  <si>
    <t xml:space="preserve">м.п </t>
  </si>
  <si>
    <t>Демонтаж и отключение старой кабельной проводки</t>
  </si>
  <si>
    <t>Отбивка неровностей и шлифовка  цементно-песчаной стяжки  алмазными дисками</t>
  </si>
  <si>
    <t xml:space="preserve">Круг алмазный гибкий шлифовальный </t>
  </si>
  <si>
    <t>Демонтаж существующей облицовки стен</t>
  </si>
  <si>
    <t>Устройство выравнивающей стяжки толщиной до 30 мм из пескобетонной смеси М300</t>
  </si>
  <si>
    <t xml:space="preserve">Разметка  пола перед монтажем перегородок </t>
  </si>
  <si>
    <t>Профиль направляющий Кнауф 75х50х0,6</t>
  </si>
  <si>
    <t>Профиль направляющий Кнауф 50х50х0,6</t>
  </si>
  <si>
    <t>Лист ГКЛ Кнауф 12,5мм</t>
  </si>
  <si>
    <t>Облицовка стен листами ГКЛ  по металлическому каркасу в 2 слоя</t>
  </si>
  <si>
    <t>Укладка керамогранитной плитки на пол</t>
  </si>
  <si>
    <t>Керамогранит Kerama Marazzi SG21100R 600x300 c учетом диагональной раскладки и запаса на подрезку</t>
  </si>
  <si>
    <t>Клей для плитки и керамогранита Ceresit CM 14 Extra 25 кг</t>
  </si>
  <si>
    <t>Крестик 2мм</t>
  </si>
  <si>
    <t>Укладка керамогранитного плинтуса</t>
  </si>
  <si>
    <t>Укладка  плитки на стены</t>
  </si>
  <si>
    <t>Керамическая плитка Metrotiles 200x100мм, белый</t>
  </si>
  <si>
    <t>Керамическая плитка Metrotiles 200x100мм, черный</t>
  </si>
  <si>
    <t>Укладка клинкерной плитки (декоративный кирпич) на стены</t>
  </si>
  <si>
    <t>Плитка облицовочная Эллин Брик с учетом подрезки</t>
  </si>
  <si>
    <t>Покрытие грунтовкой глубокого проникновения кирпичных стен под покраску</t>
  </si>
  <si>
    <t>Шпатлевка  стен в 2 слоя составом Vetonit  и наклеиванием малярного стеклохолста "Паутинка" 25г/м2</t>
  </si>
  <si>
    <t>Окраска стен водоэмульсионной краской Tikurilla Euro power 7 за 2 прохода</t>
  </si>
  <si>
    <t>Краска Tikkurila Euro Power-7 цвет белый 9 л колерованная в цвет - RAL 9010</t>
  </si>
  <si>
    <t xml:space="preserve">Краска Tikkurila Euro Power-7 цвет белый 9 л колерованная в черный цвет </t>
  </si>
  <si>
    <t>Отделочные работы</t>
  </si>
  <si>
    <t>Монтаж Двери в проем перегородки</t>
  </si>
  <si>
    <t>Комплект двери с доборами и фурнитурой</t>
  </si>
  <si>
    <t>компл</t>
  </si>
  <si>
    <t>Кабель ППГнг-HF 3*2,5 мм  (Конкорд) (С учетом запаса 2% на разделку)</t>
  </si>
  <si>
    <t>м.п</t>
  </si>
  <si>
    <t>Прокладка электропроводки в кабельных каналлах к потребителям</t>
  </si>
  <si>
    <t>Прокладка электропроводки освещения</t>
  </si>
  <si>
    <t xml:space="preserve">Штрабление стен под прокладку проводов к розеткам </t>
  </si>
  <si>
    <t>Сверление отверстий D=60х40мм в  стене под установку  выключателей и розеток</t>
  </si>
  <si>
    <t>Монтаж подрозетников  D68x40мм</t>
  </si>
  <si>
    <t>Прокладка видеокабеля  к камерам</t>
  </si>
  <si>
    <t>Монтаж и подключение видеокамер</t>
  </si>
  <si>
    <t>Камера купольная цветная Falcon Eye D80С</t>
  </si>
  <si>
    <t>Монтаж и пусконаладка сервера видеонаблюдения</t>
  </si>
  <si>
    <t>Сервер</t>
  </si>
  <si>
    <t>Ревизия (переборка) существующего электрощита</t>
  </si>
  <si>
    <t>Автоматический выключатель ABB 1-полюсный S201 C16 (автомат)</t>
  </si>
  <si>
    <t xml:space="preserve"> УЗО ABB 2-х полюсное тип AC 25A 30mA </t>
  </si>
  <si>
    <t>Монтаж трековых светильников на потолочном профиле</t>
  </si>
  <si>
    <t>Трековый светодиодный светильник LUXEON MEISSA LED 30W</t>
  </si>
  <si>
    <t>Шинопровод в сборе</t>
  </si>
  <si>
    <t>Кабельканал ПВХ</t>
  </si>
  <si>
    <t>Монтаж подвесных светодиодных светильников Слимлайт</t>
  </si>
  <si>
    <t>Светильник подвесной светодиодный Слимлайт.</t>
  </si>
  <si>
    <t>Светильник подвесной IKEA арт 703.906.99.</t>
  </si>
  <si>
    <t xml:space="preserve"> Монтаж подвесных светильников IKEA </t>
  </si>
  <si>
    <t>Светодиодный светильник 600х600</t>
  </si>
  <si>
    <t>Монтаж таблички выход</t>
  </si>
  <si>
    <t>Табличка "Выход"</t>
  </si>
  <si>
    <t>Монтаж подвесного потолка Грильятто</t>
  </si>
  <si>
    <t>Потолок грильято черный 100х100х40 мм</t>
  </si>
  <si>
    <t>Труба ПВХ 16 x 2,6</t>
  </si>
  <si>
    <t>Коллектор 3/4" на 4 выхода</t>
  </si>
  <si>
    <t xml:space="preserve">Шаровой кран 1/2" </t>
  </si>
  <si>
    <t xml:space="preserve">Цены указаны в рублях. Цены на материалы приведены на 02.10.2019, поставщик: www.leroymerlin.ru, </t>
  </si>
  <si>
    <t>на выполнение  отделочных работ  помещения кофейни ONE PRICE COFFEE, расположенной по адресу: г. Москва, Б. Семеновская 17А</t>
  </si>
  <si>
    <t>http://www.amg-gr.ru г.Москва ,Шлюзовая наб. 8 стр.1 офис 317
моб. +7 (926) 590-43-60, тел. +7 (495) 540-45-04</t>
  </si>
  <si>
    <t xml:space="preserve">Legrand Выключатель Etika, IP20, простой 1 клавишный, с подсветкой </t>
  </si>
  <si>
    <t>Тепловая завеса BALLU 3 кВт</t>
  </si>
  <si>
    <t>Окраска потолка водоэмульсионной краской Tikurilla Euro power 7 за 2 прохода</t>
  </si>
  <si>
    <t>Электро лаборатория</t>
  </si>
  <si>
    <t>Скидка от объема 10%</t>
  </si>
  <si>
    <t>Система кондиционирования</t>
  </si>
  <si>
    <t>Монтаж Фанкойла к потолку</t>
  </si>
  <si>
    <t>Фанкойл кассетный Qx=7000Вт General Climate GCKA-750Ri</t>
  </si>
  <si>
    <t>Анкер шпилька с латунным дюбелем</t>
  </si>
  <si>
    <t>Монтаж трубопроводной обвязки фанкойла</t>
  </si>
  <si>
    <t>Клапан 2х ходовой с электроприводом General Vent  GMV-2220(3/4")</t>
  </si>
  <si>
    <t>Балансировочный вентиль Danfoss AB-OM 20мм</t>
  </si>
  <si>
    <t>Автоматический воздухоотводчик Danfoss Dy 15мм</t>
  </si>
  <si>
    <t>Кран шаровый Danfoss Eagle Dy=15мм</t>
  </si>
  <si>
    <t>Кран шаровый Danfoss Eagle Dy=20мм</t>
  </si>
  <si>
    <t xml:space="preserve"> Фильтр типа FVR сетчатый с внутренней резьбой Danfoss FVR , Ду =20</t>
  </si>
  <si>
    <t>Фитинги переходные соединительные</t>
  </si>
  <si>
    <t>Фумлента</t>
  </si>
  <si>
    <t>Прокладка трубопроводов подачи воды на фанкойл по потолку</t>
  </si>
  <si>
    <t>Труба полипропиленовая армированная стекловолокном Valtec 25х2000 мм PN 20</t>
  </si>
  <si>
    <t>Труба полипропиленовая армированная стекловолокном Valtec 32х2000 мм PN 20</t>
  </si>
  <si>
    <t>Муфты соединительные 20мм</t>
  </si>
  <si>
    <t>Муфты соединительные 32мм</t>
  </si>
  <si>
    <t>Уголок  соединительный 20мм 90гр</t>
  </si>
  <si>
    <t>Уголок  соединительный 32мм 90гр</t>
  </si>
  <si>
    <t>Теплоизоляция каучуковая (трубки)</t>
  </si>
  <si>
    <t xml:space="preserve">м п </t>
  </si>
  <si>
    <t>Теплоизоляция каучуковая (лента)</t>
  </si>
  <si>
    <t>Хотут монтажный для крепления труб до 40мм</t>
  </si>
  <si>
    <t xml:space="preserve">Лента монтажная </t>
  </si>
  <si>
    <t>Монтаж  и подключение дренажной помпы</t>
  </si>
  <si>
    <t>Помпа дренажная General Climate Maxi Yellow</t>
  </si>
  <si>
    <t>Прокладка дренажного шланга</t>
  </si>
  <si>
    <t>Прокладка воздуховодов из тонколистовой стали D 100мм</t>
  </si>
  <si>
    <t>Воздуховод из тонколистовой стали D 100мм толщ 0,55мм</t>
  </si>
  <si>
    <t>Воздуховод из тонколистовой стали D 125мм толщ 0,55мм</t>
  </si>
  <si>
    <t>Воздуховод из тонколистовой стали D 160мм толщ 0,55мм</t>
  </si>
  <si>
    <t>Монтаж переходов воздуховодов</t>
  </si>
  <si>
    <t>Переход из тонколистовойстали 160/125</t>
  </si>
  <si>
    <t>Переход из тонколистовойстали 125/100</t>
  </si>
  <si>
    <t>Хотут крепежный регулируемый</t>
  </si>
  <si>
    <t>Монтаж отводов воздуховодов</t>
  </si>
  <si>
    <t>Отвод из тонколистовой стали 90гр 100мм</t>
  </si>
  <si>
    <t>Отвод из тонколистовой стали 90гр 125мм</t>
  </si>
  <si>
    <t>Отвод из тонколистовой стали 90гр 160мм</t>
  </si>
  <si>
    <t>Прокладка гибких воздуховодов из тонколистовой стали D 100мм</t>
  </si>
  <si>
    <t>Воздуховод гибкий 100мм</t>
  </si>
  <si>
    <t>Монтаж диффузоров</t>
  </si>
  <si>
    <t>Диффузор универсальный</t>
  </si>
  <si>
    <t>Монтаж воздушных заслонок</t>
  </si>
  <si>
    <t>Воздушный клапан КВК-100М</t>
  </si>
  <si>
    <t xml:space="preserve">Вспененный полиэтилен Пенофол </t>
  </si>
  <si>
    <t>Монтаж пульта управления</t>
  </si>
  <si>
    <t>Пусконаладочные работы по запуску и настройке системы вентиляции и кондиционирования</t>
  </si>
  <si>
    <t xml:space="preserve"> </t>
  </si>
  <si>
    <t>Накладные расходы 5% от стоимости работ</t>
  </si>
  <si>
    <t xml:space="preserve">Цены указаны в рублях. Цены на материалы приведены на 10.10.2019, поставщик: www.leroymerlin.ru, </t>
  </si>
  <si>
    <t>Перечень оборудования приведен согласно спецификациям предоставленного рабочего проекта на 29.09.2019, работы и материалы, не учтенные спецификациями проекта оцениваются сметой на дополнительные работы</t>
  </si>
  <si>
    <t>Скидка</t>
  </si>
  <si>
    <t>Итого:</t>
  </si>
  <si>
    <t>на выполнение  работ по устройству системы водоснабжения помещения кофейни ONE PRICE COFFEE, расположенной по адресу: г. Москва, Б. Семеновская 17А</t>
  </si>
  <si>
    <t>Водопровод</t>
  </si>
  <si>
    <t xml:space="preserve">Прокладка трубопроводов подачи воды </t>
  </si>
  <si>
    <t>Тройник 20х20х20 Valtec</t>
  </si>
  <si>
    <t>Уголок соединительный  20мм 90гр Valtec</t>
  </si>
  <si>
    <t>Муфты соединительные 20мм Valtec</t>
  </si>
  <si>
    <t>Угол 90° ⌀20 мм настенный Valtec</t>
  </si>
  <si>
    <t>Теплоизоляфия К-Flex толщиной DN 15x9мм</t>
  </si>
  <si>
    <t>Клипса монтажная</t>
  </si>
  <si>
    <t>Монтаж шаровых кранов</t>
  </si>
  <si>
    <t>Кран шаровый Danfoss  Dy=15мм</t>
  </si>
  <si>
    <t>Фитинги переходные соединительные, латунные</t>
  </si>
  <si>
    <t>Монтаж счетчиков учета воды</t>
  </si>
  <si>
    <t>Счётчик для горячей воды Itelma 1/2х80 мм</t>
  </si>
  <si>
    <t>Счётчик для холодной воды Itelma 1/2х80 мм</t>
  </si>
  <si>
    <t>Комплект монтажный сгонов для счётчика</t>
  </si>
  <si>
    <t>Футорка Viega, наружная резьба, 1x1/2", бронза</t>
  </si>
  <si>
    <t>Лента уплотнительная для резьбовых соединений</t>
  </si>
  <si>
    <t>Монтаж обратных клапанов</t>
  </si>
  <si>
    <t>Клапан обратный Danfoss NRV EF DN15</t>
  </si>
  <si>
    <t>Монтаж фильтров грубой очистки</t>
  </si>
  <si>
    <t xml:space="preserve">Фильтр сетчатый муфтовый Danfoss FVR DN15 </t>
  </si>
  <si>
    <t>Монтаж регулятора перепада давления</t>
  </si>
  <si>
    <t>Регулятор давления RD504, после себя, муфтовый, с манометром, PN 25 бар</t>
  </si>
  <si>
    <t>Монтаж моечной ванны</t>
  </si>
  <si>
    <t xml:space="preserve">шт </t>
  </si>
  <si>
    <t>Монтаж смесителей</t>
  </si>
  <si>
    <t>Смеситель для кухни Ideal Standard Euroflow, цвет хром</t>
  </si>
  <si>
    <t>Гибкая подводка для воды, 1/2", штуцер-гайка, 60 см</t>
  </si>
  <si>
    <t>Футорка латунная</t>
  </si>
  <si>
    <t>Канализация</t>
  </si>
  <si>
    <t>Монтаж сифонов</t>
  </si>
  <si>
    <t>Сифон для мойки прямоточный двойной с разрывом потока струи</t>
  </si>
  <si>
    <t>Сифон бутылочного типа</t>
  </si>
  <si>
    <t>Монтаж жироуловителя</t>
  </si>
  <si>
    <t xml:space="preserve">Жироуловитель под мойку Alta M-In </t>
  </si>
  <si>
    <t>Тройник 50х50х45</t>
  </si>
  <si>
    <t>ИТОГ:</t>
  </si>
  <si>
    <t>СМР+ Электрика</t>
  </si>
  <si>
    <t>Вентиляция</t>
  </si>
  <si>
    <t>Мойка</t>
  </si>
  <si>
    <t>Изоляция  воздуховодов пенофолом</t>
  </si>
  <si>
    <t>Монтаж тройников воздуховодов</t>
  </si>
  <si>
    <t>Тройник 160х160х100 из тонколистовой стали толщ 0,55мм</t>
  </si>
  <si>
    <t>Тройник 125х125х100 из тонколистовой стали толщ 0,55мм</t>
  </si>
  <si>
    <t>Соединитель каналов 100х0.5 мм для воздуховодов 100мм</t>
  </si>
  <si>
    <t>Соединитель каналов 125х0.5 мм для воздуховодов 125мм</t>
  </si>
  <si>
    <t>Герметик уплотнительный для воздуховодов</t>
  </si>
  <si>
    <t>Устройство перегородок из ГКЛ  по металлическому каркасу.</t>
  </si>
  <si>
    <t>Ровнитель (наливной пол) универсальный Основит Ниплайн FC42 Н самовыравнивающийся высокопрочный</t>
  </si>
  <si>
    <t xml:space="preserve">Облицовка стен листами ГКЛ  по металлическому каркасу </t>
  </si>
  <si>
    <t>Монтаж кабельного каналла</t>
  </si>
  <si>
    <t>Кабельканал ПВХ 100х50</t>
  </si>
  <si>
    <t>Прокладка электропроводки к розеткам</t>
  </si>
  <si>
    <t>Монтаж накладных розеток</t>
  </si>
  <si>
    <t>Розетка накладная</t>
  </si>
  <si>
    <t>Розетка встраиваемая</t>
  </si>
  <si>
    <t>Монтаж подрозетников  в ГКЛ</t>
  </si>
  <si>
    <t>Монтаж розеток RJ45</t>
  </si>
  <si>
    <t>Розетка RJ45</t>
  </si>
  <si>
    <t>Монтаж розеток встраиваемых</t>
  </si>
  <si>
    <t>Перенос существующего электрощита в подсобку</t>
  </si>
  <si>
    <t>Щит распределительный в сборе</t>
  </si>
  <si>
    <t>Монтаж и подключение распределительного щита ЩР</t>
  </si>
  <si>
    <t>Монтаж тепловой завесы</t>
  </si>
  <si>
    <t>Монтаж электрооборудования</t>
  </si>
  <si>
    <t>Монтаж сетки под флеймлайты</t>
  </si>
  <si>
    <t>Трос монтажный</t>
  </si>
  <si>
    <t>Монтаж флеймлайтов</t>
  </si>
  <si>
    <t>Изготовление бекплиты</t>
  </si>
  <si>
    <t>Блок питания 12в</t>
  </si>
  <si>
    <t>Подключение флеймлайтов к сети</t>
  </si>
  <si>
    <t>Монтаж полки</t>
  </si>
  <si>
    <t>Уголок монтажный</t>
  </si>
  <si>
    <t>Доска ламинированная</t>
  </si>
  <si>
    <t>Разгрузка монтаж и подключение холодильников</t>
  </si>
  <si>
    <t>Разгрузка монтаж и подключение стеклянных витрин-холодильников</t>
  </si>
  <si>
    <t>Разгрузка монтаж и подключение морозильной камеры</t>
  </si>
  <si>
    <t>Разгрузка монтаж и подключение микроволновой печи</t>
  </si>
  <si>
    <t>Разгрузка монтаж и подключение кофемашины</t>
  </si>
  <si>
    <t>Разгрузка монтаж и подключение ледогенератора</t>
  </si>
  <si>
    <t>Обвязка и монтаж фильтра очистки воды</t>
  </si>
  <si>
    <t>Коэффициент стесненности (ночные работы)</t>
  </si>
  <si>
    <t>Разгрузка монтаж и подключение кассы</t>
  </si>
  <si>
    <t>Прокладка электропроводки к оборудованию комнаты хранения</t>
  </si>
  <si>
    <t>Прокладка электропроводки к оборудованию кухни</t>
  </si>
  <si>
    <t>Рагрузка  материалов</t>
  </si>
  <si>
    <t xml:space="preserve">СКИДКА </t>
  </si>
  <si>
    <t>ИТОГО С УЧЕТОМ СКИДКИ</t>
  </si>
  <si>
    <t>Устройство наливного пола толщиной до 10 мм из готовой смеси Основит Ниплайн FC42</t>
  </si>
  <si>
    <t xml:space="preserve">Краска  цвет белый 9 л </t>
  </si>
  <si>
    <t xml:space="preserve">Краска  цвет белый 9 л колерованная в черный цвет </t>
  </si>
  <si>
    <t xml:space="preserve">Прокладка электропроводки в кабельных каналлах </t>
  </si>
  <si>
    <t>Сметная (договорная) стоимость в соответствии с договором подряда (субподряда)</t>
  </si>
  <si>
    <t xml:space="preserve"> тыс.руб</t>
  </si>
  <si>
    <t>Приложение к договору подряда №1от 14.10.2019</t>
  </si>
  <si>
    <t>на выполнение  работ по устройству системы вентиляции  помещения кофейни ONE PRICE COFFEE, расположенной по адресу: г. Москва, Б. Семеновская 17А</t>
  </si>
  <si>
    <t>на выполнение  отделочных и монтажных работ  помещения кофейни ONE PRICE COFFEE, расположенной по адресу: г. Москва, Б. Семеновская 17А</t>
  </si>
  <si>
    <t>на выполнение дополнительных  работ  помещения кофейни ONE PRICE COFFEE, расположенной по адресу: г. Москва, Б. Семеновская 17А</t>
  </si>
  <si>
    <t>Пожарная сигнализация</t>
  </si>
  <si>
    <t>Кабель силовой АВВГ фршф 2х0,75</t>
  </si>
  <si>
    <t>Клипсы монтажные</t>
  </si>
  <si>
    <t>Прокладка пожарного провода</t>
  </si>
  <si>
    <t xml:space="preserve">КПСнг(А)-FRLS 2x2x0,5 огнестойкий кабель монтажный </t>
  </si>
  <si>
    <t>Пусконаладочные работы по интеграции ОПС с ОПС ТЦ</t>
  </si>
  <si>
    <t>Контактор АВВ 22</t>
  </si>
  <si>
    <t>Соединительные провода разноцветные ПУГВ 1х4</t>
  </si>
  <si>
    <t>Наконечники монтажные</t>
  </si>
  <si>
    <t>Прокладка силового кабеля ОПС</t>
  </si>
  <si>
    <t>Монтаж аварийного светильника</t>
  </si>
  <si>
    <t>Светильник аварийный</t>
  </si>
  <si>
    <t>Комплект крепежа</t>
  </si>
  <si>
    <t>Коэффициент к работе и матер</t>
  </si>
  <si>
    <t>Стоимость единицы работ, руб. (включая ндс)</t>
  </si>
  <si>
    <t>Стоимость единицы материала,руб. (включая ндс)</t>
  </si>
  <si>
    <t>Стоимость работы за весь объем, руб (включая ндс)</t>
  </si>
  <si>
    <t>Стоимость материала на весь объем,руб. (включая ндс)</t>
  </si>
  <si>
    <t xml:space="preserve">Цена работы включая материал, руб (включая ндс) </t>
  </si>
  <si>
    <t>обьемы по 1 этажу</t>
  </si>
  <si>
    <t>высота</t>
  </si>
  <si>
    <t>площадь окон</t>
  </si>
  <si>
    <t>периметр перегородок</t>
  </si>
  <si>
    <t>периметр нар стен</t>
  </si>
  <si>
    <t>площадь стекл дверей</t>
  </si>
  <si>
    <t>площ щдверей</t>
  </si>
  <si>
    <t>площ стен</t>
  </si>
  <si>
    <t>Сметная прибыль 25% от стоимости работ и 10% от стоимости материалов</t>
  </si>
  <si>
    <t>Всего по смете:</t>
  </si>
  <si>
    <t>Стены 1 этаж</t>
  </si>
  <si>
    <t xml:space="preserve">Цены указаны в рублях. Цены на материалы приведены на 06.12.2019, поставщик: www.leroymerlin.ru, </t>
  </si>
  <si>
    <t>Приложение к договору подряда №       от      .12.2019</t>
  </si>
  <si>
    <t>на выполнение электромонтажных  работ  помещения расположенного по адресу: М.О., Истринский район, с/п Ермолинское, д. Андреевское</t>
  </si>
  <si>
    <t>Электромонтажные работы 1 этаж</t>
  </si>
  <si>
    <t xml:space="preserve">Рагрузка и перенос  материалов </t>
  </si>
  <si>
    <t xml:space="preserve">Итого по разделу </t>
  </si>
  <si>
    <t xml:space="preserve">Транспортные расходы </t>
  </si>
  <si>
    <t>Накладные расходы</t>
  </si>
  <si>
    <t xml:space="preserve">Устройство горизонтальной оклеечной гидроизоляции в один слой </t>
  </si>
  <si>
    <t>Технониколь ТКП Гидроизол</t>
  </si>
  <si>
    <t>м3</t>
  </si>
  <si>
    <t>меш</t>
  </si>
  <si>
    <t>Цемент М 500, 50кг</t>
  </si>
  <si>
    <t>Песок мытый средней крупности с учетом доставки</t>
  </si>
  <si>
    <t>Стоимость доставки цемента и др. матер</t>
  </si>
  <si>
    <t>смен</t>
  </si>
  <si>
    <t>Разгрузка, перемещение и подъем  кирпича подъемным краном</t>
  </si>
  <si>
    <t xml:space="preserve">Сборка строительных лесов </t>
  </si>
  <si>
    <t>Технониколь Master Технофас Коттедж каменная вата</t>
  </si>
  <si>
    <t>1--7</t>
  </si>
  <si>
    <t xml:space="preserve">высота </t>
  </si>
  <si>
    <t>ширина</t>
  </si>
  <si>
    <t>площадь</t>
  </si>
  <si>
    <t>7--1</t>
  </si>
  <si>
    <t>А-Ж</t>
  </si>
  <si>
    <t>Ж--А</t>
  </si>
  <si>
    <t>Итого общ площ фасада</t>
  </si>
  <si>
    <t>Окна</t>
  </si>
  <si>
    <t>ОК-1</t>
  </si>
  <si>
    <t>выс шир</t>
  </si>
  <si>
    <t xml:space="preserve">кол </t>
  </si>
  <si>
    <t>Площ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</si>
  <si>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</si>
  <si>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</si>
  <si>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</si>
  <si>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</si>
  <si>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</si>
  <si>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</si>
  <si>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</si>
  <si>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</si>
  <si>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</si>
  <si>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ОК-11</t>
  </si>
  <si>
    <t>ОК-12</t>
  </si>
  <si>
    <t>ОК-13</t>
  </si>
  <si>
    <t>Итого общ площ окон</t>
  </si>
  <si>
    <t>Двери</t>
  </si>
  <si>
    <t>ДВ-1</t>
  </si>
  <si>
    <t>ДУ-1</t>
  </si>
  <si>
    <t>ДН-1</t>
  </si>
  <si>
    <t>ДН-2</t>
  </si>
  <si>
    <t>Итого общ площ дверей</t>
  </si>
  <si>
    <t>Итого площ фасада миус окна и двери</t>
  </si>
  <si>
    <t>Сетка кладочная 50х50х2,2мм 0,5х15м</t>
  </si>
  <si>
    <t>Облицовка стен лицевым кирпичем</t>
  </si>
  <si>
    <t>Стоимость доставки кирпича</t>
  </si>
  <si>
    <t xml:space="preserve">Стоимость доставки кирпича </t>
  </si>
  <si>
    <t>Устройство монолитной плиты гаража и навеса</t>
  </si>
  <si>
    <t>Арматура АIII Ø12 мм</t>
  </si>
  <si>
    <t>Бетон М300, заводской с доставкой</t>
  </si>
  <si>
    <t>Арматура АI Ø6 мм</t>
  </si>
  <si>
    <t>Устройство монолитного пояса и перекрытия на отметке -0,170</t>
  </si>
  <si>
    <t>Арматура АI Ø8 мм</t>
  </si>
  <si>
    <t>Доска обрезная 150х40 мм</t>
  </si>
  <si>
    <t>мп</t>
  </si>
  <si>
    <t>Арматура АIII Ø25 мм</t>
  </si>
  <si>
    <t>Арматура АIII Ø18 мм</t>
  </si>
  <si>
    <t>Арматура АIII Ø10 мм</t>
  </si>
  <si>
    <t>Арматура АIII Ø6 мм</t>
  </si>
  <si>
    <t>Арматура АIII Ø8 мм</t>
  </si>
  <si>
    <t>Устройство монолитной лестницы</t>
  </si>
  <si>
    <t>Фанера 20мм</t>
  </si>
  <si>
    <t>Аренда автокрана для подачи бетона</t>
  </si>
  <si>
    <t>стены 1 этаж</t>
  </si>
  <si>
    <t>периметр</t>
  </si>
  <si>
    <t>окна</t>
  </si>
  <si>
    <t>двери</t>
  </si>
  <si>
    <t>перегородки</t>
  </si>
  <si>
    <t>проемы в перегородках</t>
  </si>
  <si>
    <t>Доска обрезная 100х40 мм</t>
  </si>
  <si>
    <t>Изготовление и монтаж закладных деталей под балки навеса</t>
  </si>
  <si>
    <t>Лист горячекатанный 500х350х8мм</t>
  </si>
  <si>
    <t>Плита ПБ 38-12</t>
  </si>
  <si>
    <t>Плита ПБ 38-15</t>
  </si>
  <si>
    <t>Плита ПБ 64-12</t>
  </si>
  <si>
    <t>Доставка плит перекрытия</t>
  </si>
  <si>
    <t>Плита ПБ 63-15</t>
  </si>
  <si>
    <t>Аренда автокрана под рагрузку, подачу, монтаж</t>
  </si>
  <si>
    <t>Доставка металлических балок</t>
  </si>
  <si>
    <t>стены 2 этаж</t>
  </si>
  <si>
    <t>Монтаж арматурных анкеров в монолитный пояс</t>
  </si>
  <si>
    <t>Укладка мауэрлата</t>
  </si>
  <si>
    <t xml:space="preserve">Брус 150х100мм </t>
  </si>
  <si>
    <t>Демонтаж опалубки</t>
  </si>
  <si>
    <t>Доска обрезная 200х50мм</t>
  </si>
  <si>
    <t>Доска обрезная 150х50мм</t>
  </si>
  <si>
    <t>Доска обрезная 100х50мм</t>
  </si>
  <si>
    <t>Брус 100х100мм</t>
  </si>
  <si>
    <t>Крепежные элементы кровли</t>
  </si>
  <si>
    <t>компл.</t>
  </si>
  <si>
    <t>Саморез, гвозди</t>
  </si>
  <si>
    <t>Доска обрезная 100х27мм</t>
  </si>
  <si>
    <t>Устройство обрешетки</t>
  </si>
  <si>
    <t>Доска обрезная 200х50 мм</t>
  </si>
  <si>
    <t>Кобылка 200х50х1800 мм</t>
  </si>
  <si>
    <t>Устройство пароизоляции</t>
  </si>
  <si>
    <t>Устройство контробрешетки</t>
  </si>
  <si>
    <t>Бортик бетонный, 30мм</t>
  </si>
  <si>
    <t>Брус 200х100мм</t>
  </si>
  <si>
    <t>Брус 150х150мм</t>
  </si>
  <si>
    <t>Доставка  балок</t>
  </si>
  <si>
    <t>Доска 150х50 мм</t>
  </si>
  <si>
    <t>Металлосайдинг  с покрытием Полиэстер, толщина 0,45 мм</t>
  </si>
  <si>
    <t>Всего по смете :</t>
  </si>
  <si>
    <t>Приложение к договору подряда №  1     от     15.05.2020</t>
  </si>
  <si>
    <t>Устройство чернового потолка с укладкой пароизоляции и утеплителя над гаражом, тамбуром и эркерной части</t>
  </si>
  <si>
    <t>Монтаж металлических балок (двутавров) перекрытия 1-го этажа</t>
  </si>
  <si>
    <t>Монтаж перемычек из уголкового профиля над проеммами окон и дверей (1-го и 2-го этажей)</t>
  </si>
  <si>
    <t>Бетон В22,5 М300 W6, заводской с доставкой</t>
  </si>
  <si>
    <t>Устройство монолитного пояса и монолитных участков 1-го этажа (МУ-1, МУ-2, МУ-3, МУ-4)</t>
  </si>
  <si>
    <t>Монтаж плит перекрытия над 1-м этажом</t>
  </si>
  <si>
    <t>Обшивка стен фасадной каменной ватой (жесткая)</t>
  </si>
  <si>
    <t>Монтаж стропильной системы 1-го этажа</t>
  </si>
  <si>
    <t>Укладка опорных элементов пониж.части кровли (1-й этаж)</t>
  </si>
  <si>
    <t>Монтаж балок перекрытия 2-го этажа</t>
  </si>
  <si>
    <t>Монтаж стропильной системы 2-й этаж</t>
  </si>
  <si>
    <t>Пароизоляция FOLDER Minima H98</t>
  </si>
  <si>
    <t>Гидро-ветро защита FOLDER Comfort 90 (супердиффузионная)</t>
  </si>
  <si>
    <t>Утеплитель PureOne 34 PN(1250х600х100 мм) 200мм</t>
  </si>
  <si>
    <t>Устройство чернового потолка с укладкой пароизоляции и утеплителя 2-го этажа</t>
  </si>
  <si>
    <t>Кирпич  керамический 1NF 250х120х65 (полнотелый), красный</t>
  </si>
  <si>
    <t>Укладка бетонных бортиков 1-го и 2-го этажей по периметру</t>
  </si>
  <si>
    <t>Доска обрезная 25х150 мм</t>
  </si>
  <si>
    <t>Брусок 50х50 мм</t>
  </si>
  <si>
    <t>Брусок 50х25 мм</t>
  </si>
  <si>
    <t>Двутавр №24 6,1м (навес)</t>
  </si>
  <si>
    <t>Двутавр №24 7,9м (терраса)</t>
  </si>
  <si>
    <t>Двутавр №18 2,85м (терраса)</t>
  </si>
  <si>
    <t>Уголок 75х75х6 (1-й этаж - 22 шт. -35,1 п.м.)</t>
  </si>
  <si>
    <t>Уголок 75х75х6 (2-й этаж -7 шт.-11.5 п.м.)</t>
  </si>
  <si>
    <t>Уголок 100х100х6 (1-й этаж - 6 шт.-15.4 п.м.)</t>
  </si>
  <si>
    <t>Устройство монолитного пояса 2 го этажа</t>
  </si>
  <si>
    <t>Облицовка фасада  2-го этажа и столбов 1-го этажа горизонтальным металлическим сайдингом</t>
  </si>
  <si>
    <t>Перф.утепление</t>
  </si>
  <si>
    <t>Доска обрезная д/опалубки 150х40 мм</t>
  </si>
  <si>
    <t>Кладка наружных и внутренних несущих стен  с армированием (1-го и 2-го этажа из двойного щелевого кирпича без учета вентканалов)</t>
  </si>
  <si>
    <t>Кирпич лицевой керамический 1NF 250х120х65 (1-й этаж - 13,44 м.куб)</t>
  </si>
  <si>
    <t>Кирпич лицевой керамический 1NF 250х120х65 (2-й этаж - 10,39 м.куб)</t>
  </si>
  <si>
    <t>Кирпич строительный 2,1 NF красный рифленый 250*120*138мм М200кг/см2 щелевой Кашира (1-й этаж - 64,29 м.куб.)</t>
  </si>
  <si>
    <t>Кирпич строительный 2,1 NF красный рифленый 250*120*138мм М200кг/см2 щелевой Кашира (2-й этаж - 39,58 м.куб.)</t>
  </si>
  <si>
    <t>Кладка из полнотелого кирпича (столбы, вентканалы, перегородки внутренние)</t>
  </si>
  <si>
    <t>Декоративный элемент (над окнами 2-го этажа)</t>
  </si>
  <si>
    <t>на выполнение общестроительных  работ  по возведению дома, расположенного по адресу: г. Москва, поселение Щаповское вблизи пос. Курилово  ДНП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</si>
</sst>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0;[Red]0.00"/>
    <numFmt numFmtId="166" formatCode="0.0"/>
    <numFmt numFmtId="167" formatCode="#,##0.00_р_.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u/>
      <sz val="12"/>
      <name val="Arial Cyr"/>
      <charset val="204"/>
    </font>
    <font>
      <b/>
      <u/>
      <sz val="16"/>
      <name val="Arial Cyr"/>
      <charset val="204"/>
    </font>
    <font>
      <u/>
      <sz val="10"/>
      <name val="Arial"/>
      <family val="2"/>
      <charset val="204"/>
    </font>
    <font>
      <i/>
      <sz val="10"/>
      <name val="Arial Cyr"/>
      <charset val="204"/>
    </font>
    <font>
      <i/>
      <sz val="10"/>
      <color indexed="8"/>
      <name val="Arial Cyr"/>
      <charset val="204"/>
    </font>
    <font>
      <b/>
      <u/>
      <sz val="11"/>
      <name val="Arial Cyr"/>
      <charset val="204"/>
    </font>
    <font>
      <i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u/>
      <sz val="10"/>
      <color theme="3"/>
      <name val="Arial"/>
      <family val="2"/>
      <charset val="204"/>
    </font>
    <font>
      <u/>
      <sz val="11"/>
      <color theme="3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4" fontId="18" fillId="0" borderId="0" applyFont="0" applyFill="0" applyBorder="0" applyAlignment="0" applyProtection="0"/>
  </cellStyleXfs>
  <cellXfs count="312">
    <xf numFmtId="0" fontId="0" fillId="0" borderId="0" xfId="0"/>
    <xf numFmtId="0" fontId="1" fillId="0" borderId="0" xfId="2" applyFont="1" applyFill="1" applyAlignment="1">
      <alignment horizontal="right"/>
    </xf>
    <xf numFmtId="2" fontId="1" fillId="0" borderId="0" xfId="2" applyNumberFormat="1" applyFont="1" applyFill="1" applyAlignment="1">
      <alignment horizontal="right"/>
    </xf>
    <xf numFmtId="2" fontId="1" fillId="0" borderId="0" xfId="2" applyNumberFormat="1" applyFont="1" applyFill="1" applyAlignment="1"/>
    <xf numFmtId="0" fontId="1" fillId="0" borderId="0" xfId="2" applyFont="1" applyFill="1"/>
    <xf numFmtId="0" fontId="3" fillId="0" borderId="0" xfId="5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2" fontId="4" fillId="0" borderId="1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2" fontId="4" fillId="0" borderId="0" xfId="5" applyNumberFormat="1" applyFont="1" applyFill="1" applyBorder="1" applyAlignment="1">
      <alignment horizontal="center" vertical="center"/>
    </xf>
    <xf numFmtId="2" fontId="4" fillId="0" borderId="0" xfId="5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right"/>
    </xf>
    <xf numFmtId="2" fontId="9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2" fontId="1" fillId="0" borderId="0" xfId="2" applyNumberFormat="1" applyFont="1" applyFill="1" applyBorder="1" applyAlignment="1">
      <alignment horizontal="right"/>
    </xf>
    <xf numFmtId="0" fontId="1" fillId="0" borderId="0" xfId="2"/>
    <xf numFmtId="0" fontId="10" fillId="0" borderId="0" xfId="2" applyFont="1" applyFill="1" applyAlignment="1">
      <alignment horizontal="right"/>
    </xf>
    <xf numFmtId="0" fontId="10" fillId="0" borderId="0" xfId="2" applyFont="1"/>
    <xf numFmtId="2" fontId="9" fillId="0" borderId="2" xfId="2" applyNumberFormat="1" applyFont="1" applyFill="1" applyBorder="1" applyAlignment="1">
      <alignment horizontal="right"/>
    </xf>
    <xf numFmtId="0" fontId="10" fillId="0" borderId="2" xfId="2" applyFont="1" applyBorder="1"/>
    <xf numFmtId="2" fontId="9" fillId="0" borderId="0" xfId="2" applyNumberFormat="1" applyFont="1" applyFill="1" applyAlignment="1">
      <alignment horizontal="right"/>
    </xf>
    <xf numFmtId="9" fontId="4" fillId="0" borderId="1" xfId="6" applyNumberFormat="1" applyFont="1" applyFill="1" applyBorder="1" applyAlignment="1">
      <alignment horizontal="center"/>
    </xf>
    <xf numFmtId="4" fontId="4" fillId="0" borderId="1" xfId="6" applyNumberFormat="1" applyFont="1" applyFill="1" applyBorder="1" applyAlignment="1">
      <alignment horizontal="center"/>
    </xf>
    <xf numFmtId="2" fontId="4" fillId="2" borderId="1" xfId="5" applyNumberFormat="1" applyFont="1" applyFill="1" applyBorder="1" applyAlignment="1">
      <alignment horizontal="center" vertical="center"/>
    </xf>
    <xf numFmtId="0" fontId="4" fillId="2" borderId="0" xfId="5" applyFont="1" applyFill="1" applyBorder="1" applyAlignment="1">
      <alignment vertical="center"/>
    </xf>
    <xf numFmtId="0" fontId="4" fillId="2" borderId="1" xfId="3" applyFont="1" applyFill="1" applyBorder="1" applyAlignment="1">
      <alignment horizontal="center"/>
    </xf>
    <xf numFmtId="0" fontId="9" fillId="2" borderId="0" xfId="2" applyFont="1" applyFill="1" applyBorder="1"/>
    <xf numFmtId="0" fontId="1" fillId="2" borderId="0" xfId="2" applyFont="1" applyFill="1" applyBorder="1" applyAlignment="1">
      <alignment horizontal="center"/>
    </xf>
    <xf numFmtId="0" fontId="8" fillId="2" borderId="0" xfId="2" applyFont="1" applyFill="1" applyAlignment="1">
      <alignment horizontal="left"/>
    </xf>
    <xf numFmtId="0" fontId="9" fillId="2" borderId="2" xfId="2" applyFont="1" applyFill="1" applyBorder="1" applyAlignment="1">
      <alignment horizontal="center"/>
    </xf>
    <xf numFmtId="0" fontId="9" fillId="2" borderId="0" xfId="2" applyFont="1" applyFill="1" applyAlignment="1">
      <alignment horizontal="center"/>
    </xf>
    <xf numFmtId="0" fontId="1" fillId="2" borderId="0" xfId="2" applyFont="1" applyFill="1" applyAlignment="1">
      <alignment horizontal="center"/>
    </xf>
    <xf numFmtId="165" fontId="4" fillId="2" borderId="1" xfId="5" applyNumberFormat="1" applyFont="1" applyFill="1" applyBorder="1" applyAlignment="1">
      <alignment horizontal="center" vertical="center"/>
    </xf>
    <xf numFmtId="4" fontId="4" fillId="2" borderId="1" xfId="6" applyNumberFormat="1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 vertical="center"/>
    </xf>
    <xf numFmtId="2" fontId="1" fillId="2" borderId="0" xfId="2" applyNumberFormat="1" applyFont="1" applyFill="1" applyBorder="1" applyAlignment="1">
      <alignment horizontal="center"/>
    </xf>
    <xf numFmtId="2" fontId="10" fillId="2" borderId="2" xfId="2" applyNumberFormat="1" applyFont="1" applyFill="1" applyBorder="1" applyAlignment="1">
      <alignment horizontal="center"/>
    </xf>
    <xf numFmtId="2" fontId="10" fillId="2" borderId="0" xfId="2" applyNumberFormat="1" applyFont="1" applyFill="1" applyAlignment="1">
      <alignment horizontal="center"/>
    </xf>
    <xf numFmtId="2" fontId="4" fillId="2" borderId="0" xfId="5" applyNumberFormat="1" applyFont="1" applyFill="1" applyBorder="1" applyAlignment="1">
      <alignment horizontal="center" vertical="center"/>
    </xf>
    <xf numFmtId="0" fontId="5" fillId="2" borderId="1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0" fontId="6" fillId="2" borderId="1" xfId="5" applyFont="1" applyFill="1" applyBorder="1" applyAlignment="1">
      <alignment vertical="center" wrapText="1"/>
    </xf>
    <xf numFmtId="2" fontId="6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0" fontId="6" fillId="2" borderId="1" xfId="3" applyFont="1" applyFill="1" applyBorder="1" applyAlignment="1">
      <alignment wrapText="1"/>
    </xf>
    <xf numFmtId="0" fontId="6" fillId="2" borderId="1" xfId="6" applyFont="1" applyFill="1" applyBorder="1"/>
    <xf numFmtId="0" fontId="6" fillId="2" borderId="1" xfId="3" applyFont="1" applyFill="1" applyBorder="1" applyAlignment="1">
      <alignment horizontal="left" wrapText="1"/>
    </xf>
    <xf numFmtId="0" fontId="21" fillId="0" borderId="0" xfId="2" applyFont="1" applyFill="1" applyAlignment="1">
      <alignment horizontal="right"/>
    </xf>
    <xf numFmtId="0" fontId="22" fillId="0" borderId="0" xfId="2" applyFont="1" applyFill="1" applyBorder="1" applyAlignment="1">
      <alignment horizontal="right"/>
    </xf>
    <xf numFmtId="0" fontId="23" fillId="0" borderId="0" xfId="5" applyFont="1" applyFill="1" applyBorder="1" applyAlignment="1">
      <alignment vertical="center"/>
    </xf>
    <xf numFmtId="0" fontId="20" fillId="0" borderId="0" xfId="0" applyFont="1"/>
    <xf numFmtId="0" fontId="4" fillId="2" borderId="3" xfId="5" applyFont="1" applyFill="1" applyBorder="1" applyAlignment="1">
      <alignment vertical="center"/>
    </xf>
    <xf numFmtId="2" fontId="4" fillId="2" borderId="3" xfId="5" applyNumberFormat="1" applyFont="1" applyFill="1" applyBorder="1" applyAlignment="1">
      <alignment horizontal="center" vertical="center"/>
    </xf>
    <xf numFmtId="2" fontId="4" fillId="0" borderId="3" xfId="5" applyNumberFormat="1" applyFont="1" applyFill="1" applyBorder="1" applyAlignment="1">
      <alignment horizontal="right" vertical="center"/>
    </xf>
    <xf numFmtId="0" fontId="6" fillId="2" borderId="0" xfId="5" applyFont="1" applyFill="1" applyBorder="1" applyAlignment="1">
      <alignment vertical="center"/>
    </xf>
    <xf numFmtId="2" fontId="6" fillId="2" borderId="0" xfId="5" applyNumberFormat="1" applyFont="1" applyFill="1" applyBorder="1" applyAlignment="1">
      <alignment horizontal="center" vertical="center"/>
    </xf>
    <xf numFmtId="0" fontId="24" fillId="0" borderId="4" xfId="1" applyFont="1" applyFill="1" applyBorder="1" applyAlignment="1" applyProtection="1">
      <alignment horizontal="center" vertical="center"/>
    </xf>
    <xf numFmtId="0" fontId="5" fillId="2" borderId="5" xfId="5" applyFont="1" applyFill="1" applyBorder="1" applyAlignment="1">
      <alignment vertical="center" wrapText="1"/>
    </xf>
    <xf numFmtId="164" fontId="6" fillId="0" borderId="5" xfId="7" applyFont="1" applyFill="1" applyBorder="1" applyAlignment="1">
      <alignment horizontal="center" vertical="center"/>
    </xf>
    <xf numFmtId="164" fontId="6" fillId="2" borderId="6" xfId="7" applyFont="1" applyFill="1" applyBorder="1" applyAlignment="1">
      <alignment horizontal="center" vertical="center"/>
    </xf>
    <xf numFmtId="164" fontId="6" fillId="0" borderId="7" xfId="7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center" vertical="center"/>
    </xf>
    <xf numFmtId="0" fontId="4" fillId="2" borderId="8" xfId="5" applyFont="1" applyFill="1" applyBorder="1" applyAlignment="1">
      <alignment vertical="center"/>
    </xf>
    <xf numFmtId="2" fontId="4" fillId="2" borderId="8" xfId="5" applyNumberFormat="1" applyFont="1" applyFill="1" applyBorder="1" applyAlignment="1">
      <alignment horizontal="center" vertical="center"/>
    </xf>
    <xf numFmtId="2" fontId="4" fillId="0" borderId="8" xfId="5" applyNumberFormat="1" applyFont="1" applyFill="1" applyBorder="1" applyAlignment="1">
      <alignment horizontal="right" vertical="center"/>
    </xf>
    <xf numFmtId="0" fontId="4" fillId="2" borderId="1" xfId="5" applyFont="1" applyFill="1" applyBorder="1" applyAlignment="1">
      <alignment horizontal="center" vertical="center"/>
    </xf>
    <xf numFmtId="164" fontId="6" fillId="0" borderId="6" xfId="7" applyFont="1" applyFill="1" applyBorder="1" applyAlignment="1">
      <alignment horizontal="center" vertical="center"/>
    </xf>
    <xf numFmtId="2" fontId="5" fillId="2" borderId="1" xfId="5" applyNumberFormat="1" applyFont="1" applyFill="1" applyBorder="1" applyAlignment="1">
      <alignment horizontal="center" vertical="center"/>
    </xf>
    <xf numFmtId="0" fontId="13" fillId="2" borderId="1" xfId="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6" fillId="0" borderId="1" xfId="5" applyFont="1" applyFill="1" applyBorder="1" applyAlignment="1">
      <alignment vertical="center"/>
    </xf>
    <xf numFmtId="0" fontId="15" fillId="0" borderId="1" xfId="0" applyFont="1" applyBorder="1" applyAlignment="1">
      <alignment horizontal="center" vertical="top"/>
    </xf>
    <xf numFmtId="2" fontId="5" fillId="0" borderId="1" xfId="5" applyNumberFormat="1" applyFont="1" applyFill="1" applyBorder="1" applyAlignment="1">
      <alignment horizontal="right" vertical="center"/>
    </xf>
    <xf numFmtId="0" fontId="25" fillId="0" borderId="1" xfId="5" applyFont="1" applyFill="1" applyBorder="1" applyAlignment="1">
      <alignment horizontal="center" vertical="center"/>
    </xf>
    <xf numFmtId="2" fontId="2" fillId="2" borderId="1" xfId="5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2" fontId="2" fillId="0" borderId="1" xfId="5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2" fontId="4" fillId="0" borderId="1" xfId="5" applyNumberFormat="1" applyFont="1" applyFill="1" applyBorder="1" applyAlignment="1">
      <alignment horizontal="right" vertical="center"/>
    </xf>
    <xf numFmtId="2" fontId="6" fillId="2" borderId="1" xfId="5" applyNumberFormat="1" applyFont="1" applyFill="1" applyBorder="1" applyAlignment="1">
      <alignment horizontal="center" vertical="center"/>
    </xf>
    <xf numFmtId="2" fontId="6" fillId="0" borderId="1" xfId="5" applyNumberFormat="1" applyFont="1" applyFill="1" applyBorder="1" applyAlignment="1">
      <alignment horizontal="right" vertical="center"/>
    </xf>
    <xf numFmtId="4" fontId="4" fillId="0" borderId="1" xfId="5" applyNumberFormat="1" applyFont="1" applyFill="1" applyBorder="1" applyAlignment="1">
      <alignment vertical="center"/>
    </xf>
    <xf numFmtId="4" fontId="4" fillId="0" borderId="1" xfId="6" applyNumberFormat="1" applyFont="1" applyFill="1" applyBorder="1"/>
    <xf numFmtId="4" fontId="4" fillId="2" borderId="1" xfId="5" applyNumberFormat="1" applyFont="1" applyFill="1" applyBorder="1" applyAlignment="1">
      <alignment vertical="center"/>
    </xf>
    <xf numFmtId="164" fontId="5" fillId="2" borderId="1" xfId="7" applyFont="1" applyFill="1" applyBorder="1" applyAlignment="1">
      <alignment horizontal="center" vertical="center"/>
    </xf>
    <xf numFmtId="164" fontId="6" fillId="2" borderId="1" xfId="7" applyFont="1" applyFill="1" applyBorder="1" applyAlignment="1">
      <alignment horizontal="center" vertical="center"/>
    </xf>
    <xf numFmtId="164" fontId="6" fillId="0" borderId="1" xfId="7" applyFont="1" applyFill="1" applyBorder="1" applyAlignment="1">
      <alignment horizontal="right" vertical="center"/>
    </xf>
    <xf numFmtId="164" fontId="6" fillId="0" borderId="1" xfId="7" applyFont="1" applyFill="1" applyBorder="1" applyAlignment="1">
      <alignment horizontal="center" vertical="center"/>
    </xf>
    <xf numFmtId="2" fontId="4" fillId="3" borderId="0" xfId="5" applyNumberFormat="1" applyFont="1" applyFill="1" applyBorder="1" applyAlignment="1">
      <alignment horizontal="center" vertical="center"/>
    </xf>
    <xf numFmtId="2" fontId="1" fillId="3" borderId="0" xfId="2" applyNumberFormat="1" applyFont="1" applyFill="1" applyAlignment="1">
      <alignment horizontal="right"/>
    </xf>
    <xf numFmtId="2" fontId="5" fillId="3" borderId="1" xfId="5" applyNumberFormat="1" applyFont="1" applyFill="1" applyBorder="1" applyAlignment="1">
      <alignment horizontal="center" vertical="center"/>
    </xf>
    <xf numFmtId="2" fontId="4" fillId="3" borderId="1" xfId="5" applyNumberFormat="1" applyFont="1" applyFill="1" applyBorder="1" applyAlignment="1">
      <alignment horizontal="center" vertical="center"/>
    </xf>
    <xf numFmtId="4" fontId="4" fillId="3" borderId="1" xfId="6" applyNumberFormat="1" applyFont="1" applyFill="1" applyBorder="1" applyAlignment="1">
      <alignment horizontal="center"/>
    </xf>
    <xf numFmtId="164" fontId="6" fillId="3" borderId="6" xfId="7" applyFont="1" applyFill="1" applyBorder="1" applyAlignment="1">
      <alignment horizontal="center" vertical="center"/>
    </xf>
    <xf numFmtId="2" fontId="9" fillId="3" borderId="0" xfId="2" applyNumberFormat="1" applyFont="1" applyFill="1" applyBorder="1" applyAlignment="1">
      <alignment horizontal="right"/>
    </xf>
    <xf numFmtId="2" fontId="1" fillId="3" borderId="0" xfId="2" applyNumberFormat="1" applyFont="1" applyFill="1" applyBorder="1" applyAlignment="1">
      <alignment horizontal="right"/>
    </xf>
    <xf numFmtId="0" fontId="20" fillId="3" borderId="0" xfId="0" applyFont="1" applyFill="1"/>
    <xf numFmtId="2" fontId="9" fillId="3" borderId="2" xfId="2" applyNumberFormat="1" applyFont="1" applyFill="1" applyBorder="1" applyAlignment="1">
      <alignment horizontal="right"/>
    </xf>
    <xf numFmtId="2" fontId="9" fillId="3" borderId="0" xfId="2" applyNumberFormat="1" applyFont="1" applyFill="1" applyAlignment="1">
      <alignment horizontal="right"/>
    </xf>
    <xf numFmtId="0" fontId="1" fillId="3" borderId="0" xfId="2" applyFont="1" applyFill="1" applyAlignment="1">
      <alignment horizontal="center"/>
    </xf>
    <xf numFmtId="0" fontId="4" fillId="3" borderId="0" xfId="5" applyFont="1" applyFill="1" applyBorder="1" applyAlignment="1">
      <alignment horizontal="center" vertical="center"/>
    </xf>
    <xf numFmtId="2" fontId="1" fillId="3" borderId="0" xfId="2" applyNumberFormat="1" applyFont="1" applyFill="1" applyBorder="1" applyAlignment="1">
      <alignment horizontal="center"/>
    </xf>
    <xf numFmtId="0" fontId="0" fillId="3" borderId="0" xfId="0" applyFill="1"/>
    <xf numFmtId="2" fontId="10" fillId="3" borderId="2" xfId="2" applyNumberFormat="1" applyFont="1" applyFill="1" applyBorder="1" applyAlignment="1">
      <alignment horizontal="center"/>
    </xf>
    <xf numFmtId="2" fontId="10" fillId="3" borderId="0" xfId="2" applyNumberFormat="1" applyFont="1" applyFill="1" applyAlignment="1">
      <alignment horizontal="center"/>
    </xf>
    <xf numFmtId="0" fontId="5" fillId="3" borderId="1" xfId="5" applyFont="1" applyFill="1" applyBorder="1" applyAlignment="1">
      <alignment vertical="center"/>
    </xf>
    <xf numFmtId="0" fontId="21" fillId="0" borderId="0" xfId="2" applyFont="1" applyFill="1" applyAlignment="1">
      <alignment horizontal="right" wrapText="1"/>
    </xf>
    <xf numFmtId="2" fontId="13" fillId="2" borderId="1" xfId="5" applyNumberFormat="1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23" fillId="3" borderId="1" xfId="5" applyFont="1" applyFill="1" applyBorder="1" applyAlignment="1">
      <alignment vertical="center"/>
    </xf>
    <xf numFmtId="2" fontId="6" fillId="3" borderId="1" xfId="5" applyNumberFormat="1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/>
    </xf>
    <xf numFmtId="2" fontId="4" fillId="2" borderId="1" xfId="5" applyNumberFormat="1" applyFont="1" applyFill="1" applyBorder="1" applyAlignment="1">
      <alignment horizontal="center" vertical="center" wrapText="1"/>
    </xf>
    <xf numFmtId="0" fontId="27" fillId="3" borderId="1" xfId="5" applyFont="1" applyFill="1" applyBorder="1" applyAlignment="1">
      <alignment horizontal="center" vertical="center"/>
    </xf>
    <xf numFmtId="0" fontId="28" fillId="3" borderId="1" xfId="5" applyFont="1" applyFill="1" applyBorder="1" applyAlignment="1">
      <alignment vertical="center"/>
    </xf>
    <xf numFmtId="0" fontId="28" fillId="0" borderId="1" xfId="5" applyFont="1" applyFill="1" applyBorder="1" applyAlignment="1">
      <alignment vertical="center"/>
    </xf>
    <xf numFmtId="0" fontId="28" fillId="0" borderId="1" xfId="5" applyFont="1" applyFill="1" applyBorder="1" applyAlignment="1">
      <alignment horizontal="left" vertical="center"/>
    </xf>
    <xf numFmtId="0" fontId="28" fillId="0" borderId="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28" fillId="3" borderId="1" xfId="5" applyFont="1" applyFill="1" applyBorder="1" applyAlignment="1">
      <alignment horizontal="center" vertical="center"/>
    </xf>
    <xf numFmtId="2" fontId="5" fillId="2" borderId="1" xfId="5" applyNumberFormat="1" applyFont="1" applyFill="1" applyBorder="1" applyAlignment="1">
      <alignment horizontal="center" vertical="center" wrapText="1"/>
    </xf>
    <xf numFmtId="0" fontId="28" fillId="0" borderId="0" xfId="5" applyFont="1" applyFill="1" applyBorder="1" applyAlignment="1">
      <alignment vertical="center"/>
    </xf>
    <xf numFmtId="0" fontId="7" fillId="0" borderId="1" xfId="5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167" fontId="6" fillId="2" borderId="1" xfId="0" applyNumberFormat="1" applyFont="1" applyFill="1" applyBorder="1" applyAlignment="1">
      <alignment horizontal="center" wrapText="1"/>
    </xf>
    <xf numFmtId="167" fontId="6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23" fillId="0" borderId="1" xfId="5" applyFont="1" applyFill="1" applyBorder="1" applyAlignment="1">
      <alignment horizontal="left" vertical="center"/>
    </xf>
    <xf numFmtId="2" fontId="6" fillId="2" borderId="1" xfId="5" applyNumberFormat="1" applyFont="1" applyFill="1" applyBorder="1" applyAlignment="1">
      <alignment horizontal="left" vertical="center" wrapText="1"/>
    </xf>
    <xf numFmtId="2" fontId="6" fillId="3" borderId="1" xfId="5" applyNumberFormat="1" applyFont="1" applyFill="1" applyBorder="1" applyAlignment="1">
      <alignment horizontal="left" vertical="center" wrapText="1"/>
    </xf>
    <xf numFmtId="0" fontId="6" fillId="0" borderId="0" xfId="5" applyFont="1" applyFill="1" applyBorder="1" applyAlignment="1">
      <alignment horizontal="left" vertical="center"/>
    </xf>
    <xf numFmtId="1" fontId="6" fillId="2" borderId="1" xfId="5" applyNumberFormat="1" applyFont="1" applyFill="1" applyBorder="1" applyAlignment="1">
      <alignment horizontal="center" vertical="center" wrapText="1"/>
    </xf>
    <xf numFmtId="0" fontId="23" fillId="3" borderId="1" xfId="5" applyFont="1" applyFill="1" applyBorder="1" applyAlignment="1">
      <alignment horizontal="center" vertical="center"/>
    </xf>
    <xf numFmtId="2" fontId="6" fillId="2" borderId="0" xfId="5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3" borderId="1" xfId="5" applyNumberFormat="1" applyFont="1" applyFill="1" applyBorder="1" applyAlignment="1">
      <alignment horizontal="center" vertical="center"/>
    </xf>
    <xf numFmtId="2" fontId="29" fillId="3" borderId="1" xfId="5" applyNumberFormat="1" applyFont="1" applyFill="1" applyBorder="1" applyAlignment="1">
      <alignment horizontal="center" vertical="center"/>
    </xf>
    <xf numFmtId="2" fontId="29" fillId="2" borderId="1" xfId="5" applyNumberFormat="1" applyFont="1" applyFill="1" applyBorder="1" applyAlignment="1">
      <alignment horizontal="center" vertical="center"/>
    </xf>
    <xf numFmtId="2" fontId="30" fillId="3" borderId="1" xfId="5" applyNumberFormat="1" applyFont="1" applyFill="1" applyBorder="1" applyAlignment="1">
      <alignment horizontal="center" vertical="center"/>
    </xf>
    <xf numFmtId="2" fontId="6" fillId="0" borderId="1" xfId="5" applyNumberFormat="1" applyFont="1" applyFill="1" applyBorder="1" applyAlignment="1">
      <alignment horizontal="right" vertical="center" wrapText="1"/>
    </xf>
    <xf numFmtId="2" fontId="31" fillId="2" borderId="1" xfId="5" applyNumberFormat="1" applyFont="1" applyFill="1" applyBorder="1" applyAlignment="1">
      <alignment horizontal="center" vertical="center"/>
    </xf>
    <xf numFmtId="2" fontId="7" fillId="2" borderId="1" xfId="5" applyNumberFormat="1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right" vertical="center"/>
    </xf>
    <xf numFmtId="0" fontId="5" fillId="3" borderId="1" xfId="5" applyFont="1" applyFill="1" applyBorder="1" applyAlignment="1">
      <alignment horizontal="center" vertical="center"/>
    </xf>
    <xf numFmtId="2" fontId="6" fillId="0" borderId="1" xfId="5" applyNumberFormat="1" applyFont="1" applyFill="1" applyBorder="1" applyAlignment="1">
      <alignment vertical="center"/>
    </xf>
    <xf numFmtId="2" fontId="5" fillId="0" borderId="1" xfId="5" applyNumberFormat="1" applyFont="1" applyFill="1" applyBorder="1" applyAlignment="1">
      <alignment vertical="center"/>
    </xf>
    <xf numFmtId="0" fontId="19" fillId="0" borderId="0" xfId="1" applyFill="1" applyBorder="1" applyAlignment="1" applyProtection="1">
      <alignment vertical="center"/>
    </xf>
    <xf numFmtId="0" fontId="2" fillId="3" borderId="1" xfId="5" applyFont="1" applyFill="1" applyBorder="1" applyAlignment="1">
      <alignment horizontal="center" vertical="center" wrapText="1"/>
    </xf>
    <xf numFmtId="2" fontId="2" fillId="3" borderId="1" xfId="5" applyNumberFormat="1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/>
    </xf>
    <xf numFmtId="165" fontId="4" fillId="3" borderId="1" xfId="5" applyNumberFormat="1" applyFont="1" applyFill="1" applyBorder="1" applyAlignment="1">
      <alignment horizontal="center" vertical="center"/>
    </xf>
    <xf numFmtId="164" fontId="6" fillId="3" borderId="1" xfId="7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center" vertical="center"/>
    </xf>
    <xf numFmtId="2" fontId="2" fillId="0" borderId="1" xfId="5" applyNumberFormat="1" applyFont="1" applyFill="1" applyBorder="1" applyAlignment="1">
      <alignment horizontal="right" vertical="center" wrapText="1"/>
    </xf>
    <xf numFmtId="4" fontId="4" fillId="0" borderId="1" xfId="5" applyNumberFormat="1" applyFont="1" applyFill="1" applyBorder="1" applyAlignment="1">
      <alignment horizontal="right" vertical="center"/>
    </xf>
    <xf numFmtId="4" fontId="4" fillId="0" borderId="1" xfId="6" applyNumberFormat="1" applyFont="1" applyFill="1" applyBorder="1" applyAlignment="1">
      <alignment horizontal="right"/>
    </xf>
    <xf numFmtId="4" fontId="4" fillId="2" borderId="1" xfId="5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0" borderId="2" xfId="2" applyFont="1" applyBorder="1" applyAlignment="1">
      <alignment horizontal="right"/>
    </xf>
    <xf numFmtId="2" fontId="5" fillId="0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horizontal="center" vertical="center"/>
    </xf>
    <xf numFmtId="0" fontId="5" fillId="2" borderId="9" xfId="5" applyFont="1" applyFill="1" applyBorder="1" applyAlignment="1">
      <alignment vertical="center" wrapText="1"/>
    </xf>
    <xf numFmtId="0" fontId="5" fillId="0" borderId="9" xfId="5" applyFont="1" applyFill="1" applyBorder="1" applyAlignment="1">
      <alignment horizontal="center" vertical="center"/>
    </xf>
    <xf numFmtId="2" fontId="5" fillId="0" borderId="9" xfId="5" applyNumberFormat="1" applyFont="1" applyFill="1" applyBorder="1" applyAlignment="1">
      <alignment horizontal="center" vertical="center"/>
    </xf>
    <xf numFmtId="2" fontId="5" fillId="2" borderId="9" xfId="5" applyNumberFormat="1" applyFont="1" applyFill="1" applyBorder="1" applyAlignment="1">
      <alignment horizontal="center" vertical="center"/>
    </xf>
    <xf numFmtId="2" fontId="5" fillId="0" borderId="9" xfId="5" applyNumberFormat="1" applyFont="1" applyFill="1" applyBorder="1" applyAlignment="1">
      <alignment horizontal="right" vertical="center"/>
    </xf>
    <xf numFmtId="0" fontId="6" fillId="2" borderId="1" xfId="5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right" vertical="center" wrapText="1"/>
    </xf>
    <xf numFmtId="0" fontId="5" fillId="2" borderId="5" xfId="5" applyFont="1" applyFill="1" applyBorder="1" applyAlignment="1">
      <alignment horizontal="left" vertical="center" wrapText="1"/>
    </xf>
    <xf numFmtId="0" fontId="5" fillId="2" borderId="5" xfId="5" applyFont="1" applyFill="1" applyBorder="1" applyAlignment="1">
      <alignment horizontal="center" vertical="center" wrapText="1"/>
    </xf>
    <xf numFmtId="2" fontId="5" fillId="2" borderId="5" xfId="5" applyNumberFormat="1" applyFont="1" applyFill="1" applyBorder="1" applyAlignment="1">
      <alignment horizontal="center" vertical="center"/>
    </xf>
    <xf numFmtId="2" fontId="5" fillId="0" borderId="5" xfId="5" applyNumberFormat="1" applyFont="1" applyFill="1" applyBorder="1" applyAlignment="1">
      <alignment horizontal="right" vertical="center"/>
    </xf>
    <xf numFmtId="0" fontId="7" fillId="2" borderId="5" xfId="5" applyFont="1" applyFill="1" applyBorder="1" applyAlignment="1">
      <alignment vertical="center" wrapText="1"/>
    </xf>
    <xf numFmtId="164" fontId="30" fillId="0" borderId="1" xfId="5" applyNumberFormat="1" applyFont="1" applyFill="1" applyBorder="1" applyAlignment="1">
      <alignment horizontal="right" vertical="center"/>
    </xf>
    <xf numFmtId="2" fontId="4" fillId="0" borderId="1" xfId="5" applyNumberFormat="1" applyFont="1" applyFill="1" applyBorder="1" applyAlignment="1">
      <alignment horizontal="right" vertical="center" wrapText="1"/>
    </xf>
    <xf numFmtId="164" fontId="30" fillId="0" borderId="1" xfId="7" applyFont="1" applyFill="1" applyBorder="1" applyAlignment="1">
      <alignment horizontal="right" vertical="center"/>
    </xf>
    <xf numFmtId="2" fontId="32" fillId="2" borderId="0" xfId="5" applyNumberFormat="1" applyFont="1" applyFill="1" applyBorder="1" applyAlignment="1">
      <alignment horizontal="left" vertical="center"/>
    </xf>
    <xf numFmtId="2" fontId="30" fillId="0" borderId="0" xfId="5" applyNumberFormat="1" applyFont="1" applyFill="1" applyBorder="1" applyAlignment="1">
      <alignment horizontal="right" vertical="center"/>
    </xf>
    <xf numFmtId="2" fontId="6" fillId="2" borderId="0" xfId="5" applyNumberFormat="1" applyFont="1" applyFill="1" applyBorder="1" applyAlignment="1">
      <alignment horizontal="right" vertical="center"/>
    </xf>
    <xf numFmtId="2" fontId="30" fillId="2" borderId="0" xfId="5" applyNumberFormat="1" applyFont="1" applyFill="1" applyBorder="1" applyAlignment="1">
      <alignment horizontal="right" vertical="center"/>
    </xf>
    <xf numFmtId="0" fontId="4" fillId="2" borderId="0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vertical="center"/>
    </xf>
    <xf numFmtId="0" fontId="4" fillId="2" borderId="1" xfId="5" applyFont="1" applyFill="1" applyBorder="1" applyAlignment="1">
      <alignment vertical="center" wrapText="1"/>
    </xf>
    <xf numFmtId="0" fontId="9" fillId="2" borderId="1" xfId="2" applyFont="1" applyFill="1" applyBorder="1"/>
    <xf numFmtId="0" fontId="9" fillId="0" borderId="1" xfId="2" applyFont="1" applyFill="1" applyBorder="1" applyAlignment="1">
      <alignment horizontal="right"/>
    </xf>
    <xf numFmtId="2" fontId="9" fillId="0" borderId="1" xfId="2" applyNumberFormat="1" applyFont="1" applyFill="1" applyBorder="1" applyAlignment="1">
      <alignment horizontal="right"/>
    </xf>
    <xf numFmtId="0" fontId="6" fillId="2" borderId="1" xfId="5" applyFont="1" applyFill="1" applyBorder="1" applyAlignment="1">
      <alignment horizontal="right" vertical="center"/>
    </xf>
    <xf numFmtId="43" fontId="30" fillId="0" borderId="1" xfId="5" applyNumberFormat="1" applyFont="1" applyFill="1" applyBorder="1" applyAlignment="1">
      <alignment horizontal="right" vertical="center"/>
    </xf>
    <xf numFmtId="43" fontId="4" fillId="0" borderId="1" xfId="5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2" fontId="10" fillId="2" borderId="0" xfId="2" applyNumberFormat="1" applyFont="1" applyFill="1" applyBorder="1" applyAlignment="1">
      <alignment horizontal="center"/>
    </xf>
    <xf numFmtId="0" fontId="10" fillId="0" borderId="0" xfId="2" applyFont="1" applyBorder="1" applyAlignment="1">
      <alignment horizontal="right"/>
    </xf>
    <xf numFmtId="0" fontId="23" fillId="0" borderId="0" xfId="5" applyFont="1" applyFill="1" applyBorder="1" applyAlignment="1">
      <alignment horizontal="center" vertical="center"/>
    </xf>
    <xf numFmtId="0" fontId="6" fillId="2" borderId="0" xfId="5" applyFont="1" applyFill="1" applyBorder="1" applyAlignment="1">
      <alignment vertical="center" wrapText="1"/>
    </xf>
    <xf numFmtId="164" fontId="6" fillId="0" borderId="0" xfId="7" applyFont="1" applyFill="1" applyBorder="1" applyAlignment="1">
      <alignment horizontal="center" vertical="center"/>
    </xf>
    <xf numFmtId="164" fontId="6" fillId="2" borderId="0" xfId="7" applyFont="1" applyFill="1" applyBorder="1" applyAlignment="1">
      <alignment horizontal="center" vertical="center"/>
    </xf>
    <xf numFmtId="164" fontId="6" fillId="0" borderId="0" xfId="7" applyFont="1" applyFill="1" applyBorder="1" applyAlignment="1">
      <alignment horizontal="right" vertical="center"/>
    </xf>
    <xf numFmtId="0" fontId="33" fillId="0" borderId="0" xfId="0" applyFont="1"/>
    <xf numFmtId="0" fontId="4" fillId="2" borderId="0" xfId="5" applyFont="1" applyFill="1" applyBorder="1" applyAlignment="1">
      <alignment horizontal="center" vertical="center"/>
    </xf>
    <xf numFmtId="0" fontId="4" fillId="0" borderId="3" xfId="4" applyFont="1" applyBorder="1" applyAlignment="1"/>
    <xf numFmtId="167" fontId="6" fillId="0" borderId="0" xfId="0" applyNumberFormat="1" applyFont="1"/>
    <xf numFmtId="0" fontId="4" fillId="0" borderId="0" xfId="4" applyFont="1"/>
    <xf numFmtId="0" fontId="5" fillId="0" borderId="0" xfId="0" applyFont="1"/>
    <xf numFmtId="0" fontId="1" fillId="2" borderId="0" xfId="2" applyFont="1" applyFill="1" applyBorder="1" applyAlignment="1">
      <alignment horizontal="left"/>
    </xf>
    <xf numFmtId="0" fontId="5" fillId="2" borderId="1" xfId="5" applyFont="1" applyFill="1" applyBorder="1" applyAlignment="1">
      <alignment vertical="center"/>
    </xf>
    <xf numFmtId="0" fontId="4" fillId="2" borderId="0" xfId="5" applyFont="1" applyFill="1" applyBorder="1" applyAlignment="1">
      <alignment horizontal="center" vertical="center"/>
    </xf>
    <xf numFmtId="0" fontId="0" fillId="0" borderId="0" xfId="0" applyFont="1"/>
    <xf numFmtId="0" fontId="4" fillId="2" borderId="5" xfId="5" applyFont="1" applyFill="1" applyBorder="1" applyAlignment="1">
      <alignment horizontal="center" vertical="center" wrapText="1"/>
    </xf>
    <xf numFmtId="0" fontId="34" fillId="0" borderId="1" xfId="1" applyFont="1" applyFill="1" applyBorder="1" applyAlignment="1" applyProtection="1">
      <alignment horizontal="center" vertical="center"/>
    </xf>
    <xf numFmtId="2" fontId="5" fillId="2" borderId="0" xfId="5" applyNumberFormat="1" applyFont="1" applyFill="1" applyBorder="1" applyAlignment="1">
      <alignment horizontal="center" vertical="center"/>
    </xf>
    <xf numFmtId="2" fontId="5" fillId="0" borderId="0" xfId="5" applyNumberFormat="1" applyFont="1" applyFill="1" applyBorder="1" applyAlignment="1">
      <alignment horizontal="right" vertical="center"/>
    </xf>
    <xf numFmtId="2" fontId="6" fillId="0" borderId="0" xfId="5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0" borderId="1" xfId="5" applyFont="1" applyFill="1" applyBorder="1" applyAlignment="1">
      <alignment vertical="center"/>
    </xf>
    <xf numFmtId="0" fontId="35" fillId="0" borderId="0" xfId="0" applyFont="1"/>
    <xf numFmtId="0" fontId="24" fillId="0" borderId="1" xfId="1" applyFont="1" applyFill="1" applyBorder="1" applyAlignment="1" applyProtection="1">
      <alignment horizontal="center" vertical="center"/>
    </xf>
    <xf numFmtId="0" fontId="27" fillId="0" borderId="1" xfId="5" applyFont="1" applyFill="1" applyBorder="1" applyAlignment="1">
      <alignment horizontal="left" vertical="center" wrapText="1"/>
    </xf>
    <xf numFmtId="0" fontId="5" fillId="2" borderId="1" xfId="5" applyFont="1" applyFill="1" applyBorder="1" applyAlignment="1">
      <alignment horizontal="center" vertical="center" wrapText="1"/>
    </xf>
    <xf numFmtId="164" fontId="30" fillId="0" borderId="0" xfId="5" applyNumberFormat="1" applyFont="1" applyFill="1" applyBorder="1" applyAlignment="1">
      <alignment horizontal="right" vertical="center"/>
    </xf>
    <xf numFmtId="0" fontId="6" fillId="2" borderId="5" xfId="5" applyFont="1" applyFill="1" applyBorder="1" applyAlignment="1">
      <alignment vertical="center" wrapText="1"/>
    </xf>
    <xf numFmtId="0" fontId="6" fillId="2" borderId="5" xfId="5" applyFont="1" applyFill="1" applyBorder="1" applyAlignment="1">
      <alignment horizontal="left" vertical="center" wrapText="1"/>
    </xf>
    <xf numFmtId="0" fontId="6" fillId="2" borderId="5" xfId="5" applyFont="1" applyFill="1" applyBorder="1" applyAlignment="1">
      <alignment horizontal="center" vertical="center" wrapText="1"/>
    </xf>
    <xf numFmtId="2" fontId="5" fillId="2" borderId="5" xfId="5" applyNumberFormat="1" applyFont="1" applyFill="1" applyBorder="1" applyAlignment="1">
      <alignment horizontal="center" vertical="center" wrapText="1"/>
    </xf>
    <xf numFmtId="0" fontId="36" fillId="2" borderId="1" xfId="5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2" fontId="6" fillId="0" borderId="0" xfId="5" applyNumberFormat="1" applyFont="1" applyFill="1" applyBorder="1" applyAlignment="1">
      <alignment vertical="center"/>
    </xf>
    <xf numFmtId="0" fontId="4" fillId="3" borderId="1" xfId="5" applyFont="1" applyFill="1" applyBorder="1" applyAlignment="1">
      <alignment horizontal="center" vertical="center"/>
    </xf>
    <xf numFmtId="0" fontId="1" fillId="2" borderId="0" xfId="2" applyFont="1" applyFill="1" applyAlignment="1">
      <alignment horizontal="right"/>
    </xf>
    <xf numFmtId="2" fontId="4" fillId="2" borderId="1" xfId="5" applyNumberFormat="1" applyFont="1" applyFill="1" applyBorder="1" applyAlignment="1">
      <alignment horizontal="right" vertical="center"/>
    </xf>
    <xf numFmtId="4" fontId="4" fillId="2" borderId="1" xfId="6" applyNumberFormat="1" applyFont="1" applyFill="1" applyBorder="1" applyAlignment="1">
      <alignment horizontal="right"/>
    </xf>
    <xf numFmtId="2" fontId="10" fillId="2" borderId="2" xfId="2" applyNumberFormat="1" applyFont="1" applyFill="1" applyBorder="1" applyAlignment="1">
      <alignment horizontal="right"/>
    </xf>
    <xf numFmtId="2" fontId="4" fillId="2" borderId="0" xfId="5" applyNumberFormat="1" applyFont="1" applyFill="1" applyBorder="1" applyAlignment="1">
      <alignment horizontal="right" vertical="center"/>
    </xf>
    <xf numFmtId="2" fontId="4" fillId="2" borderId="3" xfId="5" applyNumberFormat="1" applyFont="1" applyFill="1" applyBorder="1" applyAlignment="1">
      <alignment horizontal="right" vertical="center"/>
    </xf>
    <xf numFmtId="2" fontId="4" fillId="2" borderId="8" xfId="5" applyNumberFormat="1" applyFont="1" applyFill="1" applyBorder="1" applyAlignment="1">
      <alignment horizontal="right" vertical="center"/>
    </xf>
    <xf numFmtId="2" fontId="10" fillId="2" borderId="0" xfId="2" applyNumberFormat="1" applyFont="1" applyFill="1" applyBorder="1" applyAlignment="1">
      <alignment horizontal="right"/>
    </xf>
    <xf numFmtId="2" fontId="1" fillId="2" borderId="0" xfId="2" applyNumberFormat="1" applyFont="1" applyFill="1" applyAlignment="1">
      <alignment horizontal="right"/>
    </xf>
    <xf numFmtId="2" fontId="4" fillId="2" borderId="1" xfId="6" applyNumberFormat="1" applyFont="1" applyFill="1" applyBorder="1" applyAlignment="1">
      <alignment horizontal="right"/>
    </xf>
    <xf numFmtId="164" fontId="6" fillId="2" borderId="1" xfId="7" applyFont="1" applyFill="1" applyBorder="1" applyAlignment="1">
      <alignment horizontal="right" vertical="center"/>
    </xf>
    <xf numFmtId="0" fontId="6" fillId="2" borderId="1" xfId="3" applyFont="1" applyFill="1" applyBorder="1" applyAlignment="1">
      <alignment horizontal="center"/>
    </xf>
    <xf numFmtId="2" fontId="2" fillId="2" borderId="1" xfId="5" applyNumberFormat="1" applyFont="1" applyFill="1" applyBorder="1" applyAlignment="1">
      <alignment horizontal="left" vertical="center" wrapText="1"/>
    </xf>
    <xf numFmtId="2" fontId="5" fillId="2" borderId="1" xfId="5" applyNumberFormat="1" applyFont="1" applyFill="1" applyBorder="1" applyAlignment="1">
      <alignment horizontal="left" vertical="center" wrapText="1"/>
    </xf>
    <xf numFmtId="16" fontId="0" fillId="0" borderId="0" xfId="0" applyNumberFormat="1"/>
    <xf numFmtId="2" fontId="17" fillId="2" borderId="1" xfId="5" applyNumberFormat="1" applyFont="1" applyFill="1" applyBorder="1" applyAlignment="1">
      <alignment horizontal="center" vertical="center" wrapText="1"/>
    </xf>
    <xf numFmtId="2" fontId="28" fillId="2" borderId="1" xfId="5" applyNumberFormat="1" applyFont="1" applyFill="1" applyBorder="1" applyAlignment="1">
      <alignment horizontal="center" vertical="center" wrapText="1"/>
    </xf>
    <xf numFmtId="164" fontId="5" fillId="2" borderId="1" xfId="7" applyFont="1" applyFill="1" applyBorder="1" applyAlignment="1">
      <alignment horizontal="right" vertical="center"/>
    </xf>
    <xf numFmtId="164" fontId="2" fillId="2" borderId="1" xfId="7" applyFont="1" applyFill="1" applyBorder="1" applyAlignment="1">
      <alignment horizontal="center" vertical="center" wrapText="1"/>
    </xf>
    <xf numFmtId="2" fontId="2" fillId="2" borderId="0" xfId="5" applyNumberFormat="1" applyFont="1" applyFill="1" applyBorder="1" applyAlignment="1">
      <alignment horizontal="left" vertical="center" wrapText="1"/>
    </xf>
    <xf numFmtId="2" fontId="5" fillId="2" borderId="0" xfId="5" applyNumberFormat="1" applyFont="1" applyFill="1" applyBorder="1" applyAlignment="1">
      <alignment horizontal="center" vertical="center" wrapText="1"/>
    </xf>
    <xf numFmtId="0" fontId="25" fillId="2" borderId="1" xfId="5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 wrapText="1"/>
    </xf>
    <xf numFmtId="0" fontId="4" fillId="2" borderId="0" xfId="5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 vertical="center"/>
    </xf>
    <xf numFmtId="0" fontId="4" fillId="2" borderId="0" xfId="5" applyFont="1" applyFill="1" applyBorder="1" applyAlignment="1">
      <alignment horizontal="center" vertical="center"/>
    </xf>
    <xf numFmtId="0" fontId="4" fillId="2" borderId="0" xfId="5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left" wrapText="1"/>
    </xf>
    <xf numFmtId="0" fontId="6" fillId="2" borderId="9" xfId="5" applyFont="1" applyFill="1" applyBorder="1" applyAlignment="1">
      <alignment horizontal="left" vertical="center" wrapText="1"/>
    </xf>
    <xf numFmtId="0" fontId="6" fillId="2" borderId="5" xfId="5" applyFont="1" applyFill="1" applyBorder="1" applyAlignment="1">
      <alignment horizontal="left" vertical="center" wrapText="1"/>
    </xf>
    <xf numFmtId="0" fontId="16" fillId="2" borderId="0" xfId="2" applyFont="1" applyFill="1" applyAlignment="1">
      <alignment horizontal="center" wrapText="1"/>
    </xf>
    <xf numFmtId="0" fontId="23" fillId="2" borderId="0" xfId="5" applyFont="1" applyFill="1" applyBorder="1" applyAlignment="1">
      <alignment vertical="center"/>
    </xf>
    <xf numFmtId="0" fontId="19" fillId="2" borderId="0" xfId="1" applyFill="1" applyBorder="1" applyAlignment="1" applyProtection="1">
      <alignment vertical="center"/>
    </xf>
    <xf numFmtId="0" fontId="12" fillId="2" borderId="0" xfId="2" applyFont="1" applyFill="1" applyAlignment="1">
      <alignment horizontal="center" vertical="center"/>
    </xf>
    <xf numFmtId="0" fontId="0" fillId="2" borderId="0" xfId="0" applyFill="1"/>
    <xf numFmtId="0" fontId="21" fillId="2" borderId="0" xfId="2" applyFont="1" applyFill="1" applyAlignment="1">
      <alignment horizontal="right" wrapText="1"/>
    </xf>
    <xf numFmtId="0" fontId="0" fillId="2" borderId="0" xfId="0" applyFill="1" applyBorder="1"/>
    <xf numFmtId="0" fontId="38" fillId="2" borderId="0" xfId="0" applyFont="1" applyFill="1" applyBorder="1"/>
    <xf numFmtId="0" fontId="38" fillId="2" borderId="0" xfId="0" applyFont="1" applyFill="1"/>
    <xf numFmtId="3" fontId="5" fillId="2" borderId="1" xfId="5" applyNumberFormat="1" applyFont="1" applyFill="1" applyBorder="1" applyAlignment="1">
      <alignment horizontal="center" vertical="center" wrapText="1"/>
    </xf>
    <xf numFmtId="166" fontId="5" fillId="2" borderId="1" xfId="5" applyNumberFormat="1" applyFont="1" applyFill="1" applyBorder="1" applyAlignment="1">
      <alignment horizontal="center" vertical="center" wrapText="1"/>
    </xf>
    <xf numFmtId="1" fontId="5" fillId="2" borderId="1" xfId="5" applyNumberFormat="1" applyFont="1" applyFill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horizontal="center"/>
    </xf>
    <xf numFmtId="0" fontId="35" fillId="2" borderId="1" xfId="0" applyFont="1" applyFill="1" applyBorder="1"/>
    <xf numFmtId="0" fontId="35" fillId="2" borderId="1" xfId="0" applyFont="1" applyFill="1" applyBorder="1" applyAlignment="1">
      <alignment horizontal="right"/>
    </xf>
    <xf numFmtId="2" fontId="35" fillId="2" borderId="1" xfId="0" applyNumberFormat="1" applyFont="1" applyFill="1" applyBorder="1" applyAlignment="1">
      <alignment horizontal="right"/>
    </xf>
    <xf numFmtId="0" fontId="35" fillId="2" borderId="0" xfId="0" applyFont="1" applyFill="1"/>
    <xf numFmtId="0" fontId="39" fillId="2" borderId="1" xfId="5" applyFont="1" applyFill="1" applyBorder="1" applyAlignment="1">
      <alignment horizontal="center" vertical="center"/>
    </xf>
    <xf numFmtId="0" fontId="40" fillId="2" borderId="1" xfId="5" applyFont="1" applyFill="1" applyBorder="1" applyAlignment="1">
      <alignment vertical="center"/>
    </xf>
    <xf numFmtId="2" fontId="40" fillId="2" borderId="1" xfId="5" applyNumberFormat="1" applyFont="1" applyFill="1" applyBorder="1" applyAlignment="1">
      <alignment horizontal="center" vertical="center"/>
    </xf>
    <xf numFmtId="2" fontId="40" fillId="2" borderId="1" xfId="5" applyNumberFormat="1" applyFont="1" applyFill="1" applyBorder="1" applyAlignment="1">
      <alignment horizontal="right" vertical="center"/>
    </xf>
    <xf numFmtId="0" fontId="33" fillId="2" borderId="0" xfId="0" applyFont="1" applyFill="1" applyBorder="1"/>
    <xf numFmtId="0" fontId="33" fillId="2" borderId="0" xfId="0" applyFont="1" applyFill="1"/>
    <xf numFmtId="9" fontId="4" fillId="2" borderId="1" xfId="6" applyNumberFormat="1" applyFont="1" applyFill="1" applyBorder="1" applyAlignment="1">
      <alignment horizontal="center"/>
    </xf>
    <xf numFmtId="2" fontId="6" fillId="2" borderId="1" xfId="7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right"/>
    </xf>
    <xf numFmtId="0" fontId="10" fillId="2" borderId="0" xfId="2" applyFont="1" applyFill="1" applyAlignment="1">
      <alignment horizontal="right"/>
    </xf>
    <xf numFmtId="0" fontId="20" fillId="2" borderId="0" xfId="0" applyFont="1" applyFill="1"/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0" fontId="10" fillId="2" borderId="2" xfId="2" applyFont="1" applyFill="1" applyBorder="1" applyAlignment="1">
      <alignment horizontal="right"/>
    </xf>
    <xf numFmtId="2" fontId="9" fillId="2" borderId="0" xfId="2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</cellXfs>
  <cellStyles count="8">
    <cellStyle name="Гиперссылка" xfId="1" builtinId="8"/>
    <cellStyle name="Обычный" xfId="0" builtinId="0"/>
    <cellStyle name="Обычный 2" xfId="2"/>
    <cellStyle name="Обычный_ВираАртСтрой" xfId="3"/>
    <cellStyle name="Обычный_Лист1" xfId="4"/>
    <cellStyle name="Обычный_Прайс-лист" xfId="5"/>
    <cellStyle name="Обычный_Смета черновой материал Инсайд" xfId="6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533400</xdr:colOff>
      <xdr:row>0</xdr:row>
      <xdr:rowOff>1114425</xdr:rowOff>
    </xdr:to>
    <xdr:pic>
      <xdr:nvPicPr>
        <xdr:cNvPr id="160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44386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381000</xdr:colOff>
      <xdr:row>6</xdr:row>
      <xdr:rowOff>152400</xdr:rowOff>
    </xdr:to>
    <xdr:pic>
      <xdr:nvPicPr>
        <xdr:cNvPr id="454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61925"/>
          <a:ext cx="87439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704850</xdr:colOff>
      <xdr:row>1</xdr:row>
      <xdr:rowOff>1114425</xdr:rowOff>
    </xdr:to>
    <xdr:pic>
      <xdr:nvPicPr>
        <xdr:cNvPr id="706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61925"/>
          <a:ext cx="5257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4</xdr:col>
      <xdr:colOff>704850</xdr:colOff>
      <xdr:row>259</xdr:row>
      <xdr:rowOff>1114425</xdr:rowOff>
    </xdr:to>
    <xdr:pic>
      <xdr:nvPicPr>
        <xdr:cNvPr id="706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0101500"/>
          <a:ext cx="5257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162</xdr:row>
      <xdr:rowOff>57150</xdr:rowOff>
    </xdr:from>
    <xdr:to>
      <xdr:col>4</xdr:col>
      <xdr:colOff>533400</xdr:colOff>
      <xdr:row>166</xdr:row>
      <xdr:rowOff>447675</xdr:rowOff>
    </xdr:to>
    <xdr:pic>
      <xdr:nvPicPr>
        <xdr:cNvPr id="707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5204400"/>
          <a:ext cx="5076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4</xdr:col>
      <xdr:colOff>704850</xdr:colOff>
      <xdr:row>352</xdr:row>
      <xdr:rowOff>1114425</xdr:rowOff>
    </xdr:to>
    <xdr:pic>
      <xdr:nvPicPr>
        <xdr:cNvPr id="707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8122800"/>
          <a:ext cx="5257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zoomScale="90" zoomScaleNormal="90" zoomScaleSheetLayoutView="80" workbookViewId="0">
      <selection sqref="A1:IV65536"/>
    </sheetView>
  </sheetViews>
  <sheetFormatPr defaultRowHeight="12.75" x14ac:dyDescent="0.25"/>
  <cols>
    <col min="1" max="1" width="4.5703125" style="55" customWidth="1"/>
    <col min="2" max="2" width="50.28515625" style="26" customWidth="1"/>
    <col min="3" max="3" width="8.28515625" style="7" customWidth="1"/>
    <col min="4" max="4" width="10.5703125" style="11" customWidth="1"/>
    <col min="5" max="5" width="10" style="11" hidden="1" customWidth="1"/>
    <col min="6" max="6" width="10" style="98" hidden="1" customWidth="1"/>
    <col min="7" max="7" width="15" style="40" customWidth="1"/>
    <col min="8" max="8" width="17.28515625" style="40" customWidth="1"/>
    <col min="9" max="9" width="13.7109375" style="98" hidden="1" customWidth="1"/>
    <col min="10" max="10" width="14.7109375" style="40" customWidth="1"/>
    <col min="11" max="11" width="14.5703125" style="40" customWidth="1"/>
    <col min="12" max="12" width="15.28515625" style="12" customWidth="1"/>
    <col min="13" max="13" width="3.85546875" style="7" customWidth="1"/>
    <col min="14" max="16384" width="9.140625" style="7"/>
  </cols>
  <sheetData>
    <row r="1" spans="1:12" ht="90" customHeight="1" x14ac:dyDescent="0.25">
      <c r="B1" s="274"/>
      <c r="C1" s="274"/>
      <c r="D1" s="274"/>
    </row>
    <row r="2" spans="1:12" ht="26.25" customHeight="1" x14ac:dyDescent="0.25">
      <c r="A2" s="164"/>
      <c r="B2" s="275" t="s">
        <v>171</v>
      </c>
      <c r="C2" s="275"/>
      <c r="D2" s="275"/>
    </row>
    <row r="3" spans="1:12" ht="15" x14ac:dyDescent="0.25">
      <c r="A3" s="164"/>
      <c r="B3" s="36"/>
      <c r="C3" s="36"/>
      <c r="D3" s="36"/>
    </row>
    <row r="4" spans="1:12" x14ac:dyDescent="0.25">
      <c r="B4" s="60" t="s">
        <v>39</v>
      </c>
      <c r="J4" s="61" t="s">
        <v>40</v>
      </c>
    </row>
    <row r="5" spans="1:12" x14ac:dyDescent="0.25">
      <c r="B5" s="57"/>
      <c r="J5" s="58"/>
      <c r="K5" s="58"/>
      <c r="L5" s="59"/>
    </row>
    <row r="6" spans="1:12" x14ac:dyDescent="0.25">
      <c r="B6" s="68"/>
      <c r="J6" s="69"/>
      <c r="K6" s="69"/>
      <c r="L6" s="70"/>
    </row>
    <row r="8" spans="1:12" s="4" customFormat="1" ht="20.25" x14ac:dyDescent="0.2">
      <c r="A8" s="273" t="s">
        <v>38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s="4" customFormat="1" ht="31.5" customHeight="1" x14ac:dyDescent="0.25">
      <c r="A9" s="272" t="s">
        <v>170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</row>
    <row r="10" spans="1:12" s="4" customFormat="1" ht="15.75" customHeight="1" x14ac:dyDescent="0.25">
      <c r="A10" s="116"/>
      <c r="B10"/>
      <c r="C10" s="1"/>
      <c r="D10" s="2"/>
      <c r="E10" s="2"/>
      <c r="F10" s="99"/>
      <c r="G10" s="33"/>
      <c r="H10" s="33"/>
      <c r="I10" s="109"/>
      <c r="J10" s="33"/>
      <c r="K10" s="33"/>
      <c r="L10" s="3"/>
    </row>
    <row r="11" spans="1:12" s="5" customFormat="1" ht="89.25" customHeight="1" x14ac:dyDescent="0.25">
      <c r="A11" s="83" t="s">
        <v>0</v>
      </c>
      <c r="B11" s="84" t="s">
        <v>1</v>
      </c>
      <c r="C11" s="85" t="s">
        <v>10</v>
      </c>
      <c r="D11" s="85" t="s">
        <v>2</v>
      </c>
      <c r="E11" s="85" t="s">
        <v>72</v>
      </c>
      <c r="F11" s="165" t="s">
        <v>94</v>
      </c>
      <c r="G11" s="84" t="s">
        <v>13</v>
      </c>
      <c r="H11" s="84" t="s">
        <v>14</v>
      </c>
      <c r="I11" s="166" t="s">
        <v>94</v>
      </c>
      <c r="J11" s="84" t="s">
        <v>15</v>
      </c>
      <c r="K11" s="84" t="s">
        <v>16</v>
      </c>
      <c r="L11" s="86" t="s">
        <v>17</v>
      </c>
    </row>
    <row r="12" spans="1:12" ht="17.25" customHeight="1" x14ac:dyDescent="0.25">
      <c r="A12" s="118">
        <v>1</v>
      </c>
      <c r="B12" s="117" t="s">
        <v>102</v>
      </c>
      <c r="C12" s="119"/>
      <c r="D12" s="119"/>
      <c r="E12" s="119"/>
      <c r="F12" s="124"/>
      <c r="G12" s="120"/>
      <c r="H12" s="120"/>
      <c r="I12" s="126"/>
      <c r="J12" s="120"/>
      <c r="K12" s="120"/>
      <c r="L12" s="157"/>
    </row>
    <row r="13" spans="1:12" s="148" customFormat="1" x14ac:dyDescent="0.25">
      <c r="A13" s="118">
        <v>2</v>
      </c>
      <c r="B13" s="146" t="s">
        <v>103</v>
      </c>
      <c r="C13" s="119" t="s">
        <v>76</v>
      </c>
      <c r="D13" s="121">
        <f>6.416*6.622-0.567*0.488-0.295*1.37-0.295*0.577-0.507*0.213</f>
        <v>41.527700000000003</v>
      </c>
      <c r="E13" s="119">
        <v>1</v>
      </c>
      <c r="F13" s="124">
        <v>350</v>
      </c>
      <c r="G13" s="120">
        <f t="shared" ref="G13:G19" si="0">E13*F13</f>
        <v>350</v>
      </c>
      <c r="H13" s="120">
        <f t="shared" ref="H13:H19" si="1">D13*G13</f>
        <v>14534.695000000002</v>
      </c>
      <c r="I13" s="147"/>
      <c r="J13" s="146"/>
      <c r="K13" s="146"/>
      <c r="L13" s="157">
        <f>H13</f>
        <v>14534.695000000002</v>
      </c>
    </row>
    <row r="14" spans="1:12" s="9" customFormat="1" x14ac:dyDescent="0.25">
      <c r="A14" s="118">
        <v>3</v>
      </c>
      <c r="B14" s="146" t="s">
        <v>104</v>
      </c>
      <c r="C14" s="119" t="s">
        <v>101</v>
      </c>
      <c r="D14" s="119">
        <f>6.416*2+6.622*2</f>
        <v>26.076000000000001</v>
      </c>
      <c r="E14" s="119">
        <v>1</v>
      </c>
      <c r="F14" s="124">
        <v>250</v>
      </c>
      <c r="G14" s="120">
        <f t="shared" si="0"/>
        <v>250</v>
      </c>
      <c r="H14" s="120">
        <f t="shared" si="1"/>
        <v>6519</v>
      </c>
      <c r="I14" s="126"/>
      <c r="J14" s="120"/>
      <c r="K14" s="120"/>
      <c r="L14" s="157">
        <f t="shared" ref="L14:L21" si="2">H14</f>
        <v>6519</v>
      </c>
    </row>
    <row r="15" spans="1:12" s="151" customFormat="1" ht="25.5" x14ac:dyDescent="0.25">
      <c r="A15" s="118">
        <v>4</v>
      </c>
      <c r="B15" s="146" t="s">
        <v>105</v>
      </c>
      <c r="C15" s="120" t="s">
        <v>76</v>
      </c>
      <c r="D15" s="120">
        <v>41.53</v>
      </c>
      <c r="E15" s="149">
        <v>1</v>
      </c>
      <c r="F15" s="126">
        <v>125</v>
      </c>
      <c r="G15" s="120">
        <f t="shared" si="0"/>
        <v>125</v>
      </c>
      <c r="H15" s="120">
        <f t="shared" si="1"/>
        <v>5191.25</v>
      </c>
      <c r="I15" s="126"/>
      <c r="J15" s="120"/>
      <c r="K15" s="120"/>
      <c r="L15" s="157">
        <f t="shared" si="2"/>
        <v>5191.25</v>
      </c>
    </row>
    <row r="16" spans="1:12" s="151" customFormat="1" ht="38.25" x14ac:dyDescent="0.25">
      <c r="A16" s="118">
        <v>5</v>
      </c>
      <c r="B16" s="146" t="s">
        <v>106</v>
      </c>
      <c r="C16" s="120" t="s">
        <v>76</v>
      </c>
      <c r="D16" s="120">
        <v>0</v>
      </c>
      <c r="E16" s="149">
        <v>1</v>
      </c>
      <c r="F16" s="126">
        <v>225</v>
      </c>
      <c r="G16" s="120">
        <f t="shared" si="0"/>
        <v>225</v>
      </c>
      <c r="H16" s="120">
        <f t="shared" si="1"/>
        <v>0</v>
      </c>
      <c r="I16" s="126"/>
      <c r="J16" s="120"/>
      <c r="K16" s="120"/>
      <c r="L16" s="157">
        <f t="shared" si="2"/>
        <v>0</v>
      </c>
    </row>
    <row r="17" spans="1:12" s="151" customFormat="1" x14ac:dyDescent="0.25">
      <c r="A17" s="118">
        <v>6</v>
      </c>
      <c r="B17" s="146" t="s">
        <v>112</v>
      </c>
      <c r="C17" s="120" t="s">
        <v>76</v>
      </c>
      <c r="D17" s="120">
        <f>6*3*3</f>
        <v>54</v>
      </c>
      <c r="E17" s="149">
        <v>1</v>
      </c>
      <c r="F17" s="126">
        <v>200</v>
      </c>
      <c r="G17" s="120">
        <f t="shared" si="0"/>
        <v>200</v>
      </c>
      <c r="H17" s="120">
        <f t="shared" si="1"/>
        <v>10800</v>
      </c>
      <c r="I17" s="126"/>
      <c r="J17" s="120"/>
      <c r="K17" s="120"/>
      <c r="L17" s="157">
        <f t="shared" si="2"/>
        <v>10800</v>
      </c>
    </row>
    <row r="18" spans="1:12" s="55" customFormat="1" x14ac:dyDescent="0.25">
      <c r="A18" s="118">
        <v>7</v>
      </c>
      <c r="B18" s="145" t="s">
        <v>107</v>
      </c>
      <c r="C18" s="118" t="s">
        <v>108</v>
      </c>
      <c r="D18" s="118">
        <v>12</v>
      </c>
      <c r="E18" s="119">
        <v>1</v>
      </c>
      <c r="F18" s="150">
        <v>90</v>
      </c>
      <c r="G18" s="120">
        <f t="shared" si="0"/>
        <v>90</v>
      </c>
      <c r="H18" s="120">
        <f t="shared" si="1"/>
        <v>1080</v>
      </c>
      <c r="I18" s="125"/>
      <c r="J18" s="122"/>
      <c r="K18" s="122"/>
      <c r="L18" s="157">
        <f t="shared" si="2"/>
        <v>1080</v>
      </c>
    </row>
    <row r="19" spans="1:12" s="55" customFormat="1" x14ac:dyDescent="0.25">
      <c r="A19" s="118">
        <v>8</v>
      </c>
      <c r="B19" s="145" t="s">
        <v>109</v>
      </c>
      <c r="C19" s="118" t="s">
        <v>44</v>
      </c>
      <c r="D19" s="118">
        <v>11</v>
      </c>
      <c r="E19" s="119">
        <v>1</v>
      </c>
      <c r="F19" s="150">
        <v>50</v>
      </c>
      <c r="G19" s="120">
        <f t="shared" si="0"/>
        <v>50</v>
      </c>
      <c r="H19" s="120">
        <f t="shared" si="1"/>
        <v>550</v>
      </c>
      <c r="I19" s="125"/>
      <c r="J19" s="122"/>
      <c r="K19" s="122"/>
      <c r="L19" s="157">
        <f t="shared" si="2"/>
        <v>550</v>
      </c>
    </row>
    <row r="20" spans="1:12" s="55" customFormat="1" ht="15" x14ac:dyDescent="0.25">
      <c r="A20" s="118">
        <v>9</v>
      </c>
      <c r="B20" s="87" t="s">
        <v>134</v>
      </c>
      <c r="C20" s="127"/>
      <c r="D20" s="127"/>
      <c r="E20" s="123"/>
      <c r="F20" s="129"/>
      <c r="G20" s="128"/>
      <c r="H20" s="128"/>
      <c r="I20" s="125"/>
      <c r="J20" s="122"/>
      <c r="K20" s="122"/>
      <c r="L20" s="157"/>
    </row>
    <row r="21" spans="1:12" s="144" customFormat="1" ht="25.5" x14ac:dyDescent="0.2">
      <c r="A21" s="118">
        <v>10</v>
      </c>
      <c r="B21" s="139" t="s">
        <v>110</v>
      </c>
      <c r="C21" s="140" t="s">
        <v>76</v>
      </c>
      <c r="D21" s="141">
        <f>D13</f>
        <v>41.527700000000003</v>
      </c>
      <c r="E21" s="142">
        <v>1</v>
      </c>
      <c r="F21" s="142">
        <f>D21*E21</f>
        <v>41.527700000000003</v>
      </c>
      <c r="G21" s="142">
        <v>350</v>
      </c>
      <c r="H21" s="142">
        <f>D21*G21</f>
        <v>14534.695000000002</v>
      </c>
      <c r="I21" s="143"/>
      <c r="J21" s="152"/>
      <c r="K21" s="152"/>
      <c r="L21" s="157">
        <f t="shared" si="2"/>
        <v>14534.695000000002</v>
      </c>
    </row>
    <row r="22" spans="1:12" s="137" customFormat="1" x14ac:dyDescent="0.25">
      <c r="A22" s="118">
        <v>11</v>
      </c>
      <c r="B22" s="132" t="s">
        <v>111</v>
      </c>
      <c r="C22" s="133" t="s">
        <v>44</v>
      </c>
      <c r="D22" s="133">
        <v>3</v>
      </c>
      <c r="E22" s="134">
        <v>1</v>
      </c>
      <c r="F22" s="135"/>
      <c r="G22" s="136"/>
      <c r="H22" s="136"/>
      <c r="I22" s="130">
        <v>431</v>
      </c>
      <c r="J22" s="131">
        <f>E22*I22</f>
        <v>431</v>
      </c>
      <c r="K22" s="131">
        <f>D22*J22</f>
        <v>1293</v>
      </c>
      <c r="L22" s="131">
        <f>K22</f>
        <v>1293</v>
      </c>
    </row>
    <row r="23" spans="1:12" s="9" customFormat="1" ht="25.5" x14ac:dyDescent="0.25">
      <c r="A23" s="118">
        <v>12</v>
      </c>
      <c r="B23" s="45" t="s">
        <v>113</v>
      </c>
      <c r="C23" s="48" t="s">
        <v>20</v>
      </c>
      <c r="D23" s="46">
        <v>41.53</v>
      </c>
      <c r="E23" s="119">
        <v>1</v>
      </c>
      <c r="F23" s="153"/>
      <c r="G23" s="89">
        <v>650</v>
      </c>
      <c r="H23" s="89">
        <f>D23*G23</f>
        <v>26994.5</v>
      </c>
      <c r="I23" s="153"/>
      <c r="J23" s="89"/>
      <c r="K23" s="89"/>
      <c r="L23" s="90">
        <f>H23</f>
        <v>26994.5</v>
      </c>
    </row>
    <row r="24" spans="1:12" s="44" customFormat="1" ht="27.75" customHeight="1" x14ac:dyDescent="0.25">
      <c r="A24" s="118">
        <v>13</v>
      </c>
      <c r="B24" s="41" t="s">
        <v>22</v>
      </c>
      <c r="C24" s="42" t="s">
        <v>23</v>
      </c>
      <c r="D24" s="43">
        <f>20*3*41.53/1000</f>
        <v>2.4918</v>
      </c>
      <c r="E24" s="119">
        <v>1</v>
      </c>
      <c r="F24" s="100"/>
      <c r="G24" s="73"/>
      <c r="H24" s="73"/>
      <c r="I24" s="100"/>
      <c r="J24" s="73">
        <f>192/40*1000</f>
        <v>4800</v>
      </c>
      <c r="K24" s="73">
        <f>D24*J24</f>
        <v>11960.64</v>
      </c>
      <c r="L24" s="82">
        <f>K24</f>
        <v>11960.64</v>
      </c>
    </row>
    <row r="25" spans="1:12" s="44" customFormat="1" x14ac:dyDescent="0.25">
      <c r="A25" s="118">
        <v>14</v>
      </c>
      <c r="B25" s="41" t="s">
        <v>21</v>
      </c>
      <c r="C25" s="42" t="s">
        <v>19</v>
      </c>
      <c r="D25" s="43">
        <f>10*0.15</f>
        <v>1.5</v>
      </c>
      <c r="E25" s="119">
        <v>1</v>
      </c>
      <c r="F25" s="100"/>
      <c r="G25" s="73"/>
      <c r="H25" s="73"/>
      <c r="I25" s="100"/>
      <c r="J25" s="73">
        <f>1/0.15*95</f>
        <v>633.33333333333337</v>
      </c>
      <c r="K25" s="73">
        <f>D25*J25</f>
        <v>950</v>
      </c>
      <c r="L25" s="82">
        <f>K25</f>
        <v>950</v>
      </c>
    </row>
    <row r="26" spans="1:12" x14ac:dyDescent="0.25">
      <c r="A26" s="118">
        <v>15</v>
      </c>
      <c r="B26" s="45" t="s">
        <v>114</v>
      </c>
      <c r="C26" s="10" t="s">
        <v>18</v>
      </c>
      <c r="D26" s="8">
        <v>4.5</v>
      </c>
      <c r="E26" s="123">
        <v>1</v>
      </c>
      <c r="F26" s="101">
        <v>60</v>
      </c>
      <c r="G26" s="25">
        <v>60</v>
      </c>
      <c r="H26" s="25">
        <f>D26*G26</f>
        <v>270</v>
      </c>
      <c r="I26" s="101"/>
      <c r="J26" s="25"/>
      <c r="K26" s="25"/>
      <c r="L26" s="88">
        <f>H26</f>
        <v>270</v>
      </c>
    </row>
    <row r="27" spans="1:12" s="9" customFormat="1" ht="38.25" x14ac:dyDescent="0.25">
      <c r="A27" s="118">
        <v>16</v>
      </c>
      <c r="B27" s="45" t="s">
        <v>24</v>
      </c>
      <c r="C27" s="48" t="s">
        <v>20</v>
      </c>
      <c r="D27" s="46">
        <f>(2.132+1.6)*3.2</f>
        <v>11.942400000000001</v>
      </c>
      <c r="E27" s="119">
        <v>1</v>
      </c>
      <c r="F27" s="153">
        <v>800</v>
      </c>
      <c r="G27" s="89">
        <f>E27*F27</f>
        <v>800</v>
      </c>
      <c r="H27" s="89">
        <f>D27*G27</f>
        <v>9553.92</v>
      </c>
      <c r="I27" s="153"/>
      <c r="J27" s="89"/>
      <c r="K27" s="89"/>
      <c r="L27" s="90">
        <f>H27</f>
        <v>9553.92</v>
      </c>
    </row>
    <row r="28" spans="1:12" s="44" customFormat="1" x14ac:dyDescent="0.25">
      <c r="A28" s="118">
        <v>17</v>
      </c>
      <c r="B28" s="41" t="s">
        <v>117</v>
      </c>
      <c r="C28" s="42" t="s">
        <v>20</v>
      </c>
      <c r="D28" s="43">
        <f>D27*4</f>
        <v>47.769600000000004</v>
      </c>
      <c r="E28" s="119">
        <v>1</v>
      </c>
      <c r="F28" s="100"/>
      <c r="G28" s="73"/>
      <c r="H28" s="73"/>
      <c r="I28" s="154"/>
      <c r="J28" s="73">
        <v>84</v>
      </c>
      <c r="K28" s="73">
        <f t="shared" ref="K28:K34" si="3">D28*J28</f>
        <v>4012.6464000000005</v>
      </c>
      <c r="L28" s="82">
        <f>K28</f>
        <v>4012.6464000000005</v>
      </c>
    </row>
    <row r="29" spans="1:12" s="44" customFormat="1" x14ac:dyDescent="0.25">
      <c r="A29" s="118">
        <v>18</v>
      </c>
      <c r="B29" s="41" t="s">
        <v>115</v>
      </c>
      <c r="C29" s="42" t="s">
        <v>18</v>
      </c>
      <c r="D29" s="43">
        <f>D27*2.3</f>
        <v>27.46752</v>
      </c>
      <c r="E29" s="123">
        <v>1</v>
      </c>
      <c r="F29" s="100"/>
      <c r="G29" s="73"/>
      <c r="H29" s="73"/>
      <c r="I29" s="154"/>
      <c r="J29" s="73">
        <v>89</v>
      </c>
      <c r="K29" s="73">
        <f t="shared" si="3"/>
        <v>2444.6092800000001</v>
      </c>
      <c r="L29" s="82">
        <f t="shared" ref="L29:L34" si="4">K29</f>
        <v>2444.6092800000001</v>
      </c>
    </row>
    <row r="30" spans="1:12" s="44" customFormat="1" x14ac:dyDescent="0.25">
      <c r="A30" s="118">
        <v>19</v>
      </c>
      <c r="B30" s="41" t="s">
        <v>116</v>
      </c>
      <c r="C30" s="42" t="s">
        <v>18</v>
      </c>
      <c r="D30" s="43">
        <f>D27*2.2</f>
        <v>26.273280000000003</v>
      </c>
      <c r="E30" s="119">
        <v>1</v>
      </c>
      <c r="F30" s="100"/>
      <c r="G30" s="73"/>
      <c r="H30" s="73"/>
      <c r="I30" s="154"/>
      <c r="J30" s="73">
        <f>178/3</f>
        <v>59.333333333333336</v>
      </c>
      <c r="K30" s="73">
        <f t="shared" si="3"/>
        <v>1558.8812800000003</v>
      </c>
      <c r="L30" s="82">
        <f t="shared" si="4"/>
        <v>1558.8812800000003</v>
      </c>
    </row>
    <row r="31" spans="1:12" s="44" customFormat="1" x14ac:dyDescent="0.25">
      <c r="A31" s="118">
        <v>20</v>
      </c>
      <c r="B31" s="41" t="s">
        <v>100</v>
      </c>
      <c r="C31" s="42" t="s">
        <v>20</v>
      </c>
      <c r="D31" s="43">
        <f>D27</f>
        <v>11.942400000000001</v>
      </c>
      <c r="E31" s="123">
        <v>1</v>
      </c>
      <c r="F31" s="100"/>
      <c r="G31" s="73"/>
      <c r="H31" s="73"/>
      <c r="I31" s="154"/>
      <c r="J31" s="73">
        <f>770/6</f>
        <v>128.33333333333334</v>
      </c>
      <c r="K31" s="73">
        <f t="shared" si="3"/>
        <v>1532.6080000000002</v>
      </c>
      <c r="L31" s="82">
        <f t="shared" si="4"/>
        <v>1532.6080000000002</v>
      </c>
    </row>
    <row r="32" spans="1:12" s="44" customFormat="1" x14ac:dyDescent="0.25">
      <c r="A32" s="118">
        <v>21</v>
      </c>
      <c r="B32" s="41" t="s">
        <v>27</v>
      </c>
      <c r="C32" s="42" t="s">
        <v>3</v>
      </c>
      <c r="D32" s="43">
        <f>15*D27</f>
        <v>179.13600000000002</v>
      </c>
      <c r="E32" s="119">
        <v>1</v>
      </c>
      <c r="F32" s="100"/>
      <c r="G32" s="73"/>
      <c r="H32" s="73"/>
      <c r="I32" s="154"/>
      <c r="J32" s="73">
        <v>0.46</v>
      </c>
      <c r="K32" s="73">
        <f t="shared" si="3"/>
        <v>82.402560000000008</v>
      </c>
      <c r="L32" s="82">
        <f t="shared" si="4"/>
        <v>82.402560000000008</v>
      </c>
    </row>
    <row r="33" spans="1:12" s="44" customFormat="1" x14ac:dyDescent="0.25">
      <c r="A33" s="118">
        <v>22</v>
      </c>
      <c r="B33" s="41" t="s">
        <v>28</v>
      </c>
      <c r="C33" s="42" t="s">
        <v>3</v>
      </c>
      <c r="D33" s="43">
        <f>30*D27</f>
        <v>358.27200000000005</v>
      </c>
      <c r="E33" s="123">
        <v>1</v>
      </c>
      <c r="F33" s="100"/>
      <c r="G33" s="73"/>
      <c r="H33" s="73"/>
      <c r="I33" s="154"/>
      <c r="J33" s="73">
        <v>0.52</v>
      </c>
      <c r="K33" s="73">
        <f t="shared" si="3"/>
        <v>186.30144000000004</v>
      </c>
      <c r="L33" s="82">
        <f t="shared" si="4"/>
        <v>186.30144000000004</v>
      </c>
    </row>
    <row r="34" spans="1:12" s="44" customFormat="1" x14ac:dyDescent="0.25">
      <c r="A34" s="118">
        <v>23</v>
      </c>
      <c r="B34" s="41" t="s">
        <v>29</v>
      </c>
      <c r="C34" s="42" t="s">
        <v>18</v>
      </c>
      <c r="D34" s="43">
        <f>D27*3</f>
        <v>35.827200000000005</v>
      </c>
      <c r="E34" s="119">
        <v>1</v>
      </c>
      <c r="F34" s="100"/>
      <c r="G34" s="73"/>
      <c r="H34" s="73"/>
      <c r="I34" s="154"/>
      <c r="J34" s="73">
        <v>1.3</v>
      </c>
      <c r="K34" s="73">
        <f t="shared" si="3"/>
        <v>46.575360000000011</v>
      </c>
      <c r="L34" s="82">
        <f t="shared" si="4"/>
        <v>46.575360000000011</v>
      </c>
    </row>
    <row r="35" spans="1:12" s="9" customFormat="1" ht="25.5" x14ac:dyDescent="0.25">
      <c r="A35" s="118">
        <v>24</v>
      </c>
      <c r="B35" s="45" t="s">
        <v>118</v>
      </c>
      <c r="C35" s="48" t="s">
        <v>20</v>
      </c>
      <c r="D35" s="89">
        <f>3.2*(1.24+0.66+0.2+0.2+3.01+0.37+0.65+0.37+1.52+0.26+2.04+0.57+0.56)</f>
        <v>37.28</v>
      </c>
      <c r="E35" s="119">
        <v>1</v>
      </c>
      <c r="F35" s="153"/>
      <c r="G35" s="89">
        <v>450</v>
      </c>
      <c r="H35" s="89">
        <f>D35*G35</f>
        <v>16776</v>
      </c>
      <c r="I35" s="156"/>
      <c r="J35" s="89"/>
      <c r="K35" s="89"/>
      <c r="L35" s="90">
        <f>H35</f>
        <v>16776</v>
      </c>
    </row>
    <row r="36" spans="1:12" s="44" customFormat="1" x14ac:dyDescent="0.25">
      <c r="A36" s="118">
        <v>25</v>
      </c>
      <c r="B36" s="41" t="s">
        <v>117</v>
      </c>
      <c r="C36" s="42" t="s">
        <v>20</v>
      </c>
      <c r="D36" s="43">
        <f>2*D35</f>
        <v>74.56</v>
      </c>
      <c r="E36" s="119">
        <v>1</v>
      </c>
      <c r="F36" s="100"/>
      <c r="G36" s="73"/>
      <c r="H36" s="73"/>
      <c r="I36" s="154"/>
      <c r="J36" s="73">
        <v>84</v>
      </c>
      <c r="K36" s="73">
        <f t="shared" ref="K36:K41" si="5">D36*J36</f>
        <v>6263.04</v>
      </c>
      <c r="L36" s="82">
        <f t="shared" ref="L36:L41" si="6">K36</f>
        <v>6263.04</v>
      </c>
    </row>
    <row r="37" spans="1:12" s="44" customFormat="1" x14ac:dyDescent="0.25">
      <c r="A37" s="118">
        <v>26</v>
      </c>
      <c r="B37" s="41" t="s">
        <v>25</v>
      </c>
      <c r="C37" s="42" t="s">
        <v>18</v>
      </c>
      <c r="D37" s="43">
        <f>D35*2.3</f>
        <v>85.744</v>
      </c>
      <c r="E37" s="123">
        <v>1</v>
      </c>
      <c r="F37" s="100"/>
      <c r="G37" s="73"/>
      <c r="H37" s="73"/>
      <c r="I37" s="154">
        <f>177/3*E37</f>
        <v>59</v>
      </c>
      <c r="J37" s="73">
        <f>D37*E37</f>
        <v>85.744</v>
      </c>
      <c r="K37" s="73">
        <f>D37*J37</f>
        <v>7352.0335359999999</v>
      </c>
      <c r="L37" s="82">
        <f t="shared" si="6"/>
        <v>7352.0335359999999</v>
      </c>
    </row>
    <row r="38" spans="1:12" s="44" customFormat="1" x14ac:dyDescent="0.25">
      <c r="A38" s="118">
        <v>27</v>
      </c>
      <c r="B38" s="41" t="s">
        <v>26</v>
      </c>
      <c r="C38" s="42" t="s">
        <v>18</v>
      </c>
      <c r="D38" s="43">
        <f>D35*2</f>
        <v>74.56</v>
      </c>
      <c r="E38" s="119">
        <v>1</v>
      </c>
      <c r="F38" s="100"/>
      <c r="G38" s="73"/>
      <c r="H38" s="73"/>
      <c r="I38" s="154"/>
      <c r="J38" s="73">
        <f>178/3</f>
        <v>59.333333333333336</v>
      </c>
      <c r="K38" s="73">
        <f t="shared" si="5"/>
        <v>4423.8933333333334</v>
      </c>
      <c r="L38" s="82">
        <f t="shared" si="6"/>
        <v>4423.8933333333334</v>
      </c>
    </row>
    <row r="39" spans="1:12" s="44" customFormat="1" x14ac:dyDescent="0.25">
      <c r="A39" s="118">
        <v>28</v>
      </c>
      <c r="B39" s="41" t="s">
        <v>27</v>
      </c>
      <c r="C39" s="42" t="s">
        <v>3</v>
      </c>
      <c r="D39" s="43">
        <f>15*D35</f>
        <v>559.20000000000005</v>
      </c>
      <c r="E39" s="123">
        <v>1</v>
      </c>
      <c r="F39" s="100"/>
      <c r="G39" s="73"/>
      <c r="H39" s="73"/>
      <c r="I39" s="154"/>
      <c r="J39" s="73">
        <v>0.46</v>
      </c>
      <c r="K39" s="73">
        <f t="shared" si="5"/>
        <v>257.23200000000003</v>
      </c>
      <c r="L39" s="82">
        <f t="shared" si="6"/>
        <v>257.23200000000003</v>
      </c>
    </row>
    <row r="40" spans="1:12" s="44" customFormat="1" x14ac:dyDescent="0.25">
      <c r="A40" s="118">
        <v>29</v>
      </c>
      <c r="B40" s="41" t="s">
        <v>28</v>
      </c>
      <c r="C40" s="42" t="s">
        <v>3</v>
      </c>
      <c r="D40" s="43">
        <f>30*D35</f>
        <v>1118.4000000000001</v>
      </c>
      <c r="E40" s="119">
        <v>1</v>
      </c>
      <c r="F40" s="100"/>
      <c r="G40" s="73"/>
      <c r="H40" s="73"/>
      <c r="I40" s="154"/>
      <c r="J40" s="73">
        <v>0.52</v>
      </c>
      <c r="K40" s="73">
        <f t="shared" si="5"/>
        <v>581.5680000000001</v>
      </c>
      <c r="L40" s="82">
        <f t="shared" si="6"/>
        <v>581.5680000000001</v>
      </c>
    </row>
    <row r="41" spans="1:12" s="44" customFormat="1" x14ac:dyDescent="0.25">
      <c r="A41" s="118">
        <v>30</v>
      </c>
      <c r="B41" s="41" t="s">
        <v>29</v>
      </c>
      <c r="C41" s="42" t="s">
        <v>18</v>
      </c>
      <c r="D41" s="43">
        <f>D35*3</f>
        <v>111.84</v>
      </c>
      <c r="E41" s="123">
        <v>1</v>
      </c>
      <c r="F41" s="100"/>
      <c r="G41" s="73"/>
      <c r="H41" s="73"/>
      <c r="I41" s="154"/>
      <c r="J41" s="73">
        <v>1.3</v>
      </c>
      <c r="K41" s="73">
        <f t="shared" si="5"/>
        <v>145.392</v>
      </c>
      <c r="L41" s="82">
        <f t="shared" si="6"/>
        <v>145.392</v>
      </c>
    </row>
    <row r="42" spans="1:12" s="9" customFormat="1" x14ac:dyDescent="0.25">
      <c r="A42" s="118">
        <v>31</v>
      </c>
      <c r="B42" s="45" t="s">
        <v>119</v>
      </c>
      <c r="C42" s="48" t="s">
        <v>76</v>
      </c>
      <c r="D42" s="46">
        <v>41.53</v>
      </c>
      <c r="E42" s="119">
        <v>1</v>
      </c>
      <c r="F42" s="153">
        <v>1200</v>
      </c>
      <c r="G42" s="89">
        <f>E42*F42</f>
        <v>1200</v>
      </c>
      <c r="H42" s="89">
        <f>D42*F42</f>
        <v>49836</v>
      </c>
      <c r="I42" s="156"/>
      <c r="J42" s="89"/>
      <c r="K42" s="89"/>
      <c r="L42" s="90">
        <f>H42</f>
        <v>49836</v>
      </c>
    </row>
    <row r="43" spans="1:12" s="44" customFormat="1" ht="25.5" x14ac:dyDescent="0.25">
      <c r="A43" s="118">
        <v>32</v>
      </c>
      <c r="B43" s="41" t="s">
        <v>120</v>
      </c>
      <c r="C43" s="42" t="s">
        <v>76</v>
      </c>
      <c r="D43" s="43">
        <v>46.2</v>
      </c>
      <c r="E43" s="123">
        <v>1</v>
      </c>
      <c r="F43" s="100"/>
      <c r="G43" s="73"/>
      <c r="H43" s="73"/>
      <c r="I43" s="154">
        <v>1250</v>
      </c>
      <c r="J43" s="73">
        <f>E43*I43</f>
        <v>1250</v>
      </c>
      <c r="K43" s="73">
        <f>D43*J43</f>
        <v>57750</v>
      </c>
      <c r="L43" s="82">
        <f>K43</f>
        <v>57750</v>
      </c>
    </row>
    <row r="44" spans="1:12" s="44" customFormat="1" ht="25.5" x14ac:dyDescent="0.25">
      <c r="A44" s="118">
        <v>33</v>
      </c>
      <c r="B44" s="41" t="s">
        <v>121</v>
      </c>
      <c r="C44" s="42" t="s">
        <v>19</v>
      </c>
      <c r="D44" s="43">
        <f>10*D42</f>
        <v>415.3</v>
      </c>
      <c r="E44" s="123">
        <v>1</v>
      </c>
      <c r="F44" s="100"/>
      <c r="G44" s="73"/>
      <c r="H44" s="73"/>
      <c r="I44" s="154">
        <f>488/25</f>
        <v>19.52</v>
      </c>
      <c r="J44" s="73">
        <f t="shared" ref="J44:J55" si="7">E44*I44</f>
        <v>19.52</v>
      </c>
      <c r="K44" s="73">
        <f t="shared" ref="K44:K55" si="8">D44*J44</f>
        <v>8106.6559999999999</v>
      </c>
      <c r="L44" s="82">
        <f t="shared" ref="L44:L55" si="9">K44</f>
        <v>8106.6559999999999</v>
      </c>
    </row>
    <row r="45" spans="1:12" s="44" customFormat="1" x14ac:dyDescent="0.25">
      <c r="A45" s="118">
        <v>34</v>
      </c>
      <c r="B45" s="41" t="s">
        <v>122</v>
      </c>
      <c r="C45" s="42" t="s">
        <v>3</v>
      </c>
      <c r="D45" s="43">
        <v>5</v>
      </c>
      <c r="E45" s="123">
        <v>1</v>
      </c>
      <c r="F45" s="100"/>
      <c r="G45" s="73"/>
      <c r="H45" s="73"/>
      <c r="I45" s="154">
        <v>50</v>
      </c>
      <c r="J45" s="73">
        <f t="shared" si="7"/>
        <v>50</v>
      </c>
      <c r="K45" s="73">
        <f t="shared" si="8"/>
        <v>250</v>
      </c>
      <c r="L45" s="82">
        <f t="shared" si="9"/>
        <v>250</v>
      </c>
    </row>
    <row r="46" spans="1:12" s="9" customFormat="1" x14ac:dyDescent="0.25">
      <c r="A46" s="118">
        <v>35</v>
      </c>
      <c r="B46" s="45" t="s">
        <v>123</v>
      </c>
      <c r="C46" s="48" t="s">
        <v>18</v>
      </c>
      <c r="D46" s="46">
        <f>3.61+1.72+0.62+0.92+1.23+0.2+0.66+0.2+3+6.27+0.65+0.37+0.37+1.52+0.26+2.04+0.56+0.56</f>
        <v>24.759999999999998</v>
      </c>
      <c r="E46" s="119">
        <v>1</v>
      </c>
      <c r="F46" s="153">
        <v>1000</v>
      </c>
      <c r="G46" s="89">
        <f>E46*F46</f>
        <v>1000</v>
      </c>
      <c r="H46" s="89">
        <f>D46*F46</f>
        <v>24759.999999999996</v>
      </c>
      <c r="I46" s="156"/>
      <c r="J46" s="158"/>
      <c r="K46" s="159"/>
      <c r="L46" s="160">
        <f>H46</f>
        <v>24759.999999999996</v>
      </c>
    </row>
    <row r="47" spans="1:12" s="44" customFormat="1" ht="35.25" customHeight="1" x14ac:dyDescent="0.25">
      <c r="A47" s="118">
        <v>36</v>
      </c>
      <c r="B47" s="41" t="s">
        <v>120</v>
      </c>
      <c r="C47" s="42" t="s">
        <v>76</v>
      </c>
      <c r="D47" s="43">
        <f>D46*0.3/2</f>
        <v>3.7139999999999995</v>
      </c>
      <c r="E47" s="123">
        <v>1</v>
      </c>
      <c r="F47" s="100"/>
      <c r="G47" s="73"/>
      <c r="H47" s="73"/>
      <c r="I47" s="100">
        <v>1250</v>
      </c>
      <c r="J47" s="73">
        <f t="shared" si="7"/>
        <v>1250</v>
      </c>
      <c r="K47" s="73">
        <f t="shared" si="8"/>
        <v>4642.4999999999991</v>
      </c>
      <c r="L47" s="82">
        <f t="shared" si="9"/>
        <v>4642.4999999999991</v>
      </c>
    </row>
    <row r="48" spans="1:12" s="44" customFormat="1" ht="25.5" x14ac:dyDescent="0.25">
      <c r="A48" s="118">
        <v>37</v>
      </c>
      <c r="B48" s="41" t="s">
        <v>121</v>
      </c>
      <c r="C48" s="42" t="s">
        <v>19</v>
      </c>
      <c r="D48" s="43">
        <f>10*D47</f>
        <v>37.139999999999993</v>
      </c>
      <c r="E48" s="123">
        <v>1</v>
      </c>
      <c r="F48" s="100"/>
      <c r="G48" s="73"/>
      <c r="H48" s="73"/>
      <c r="I48" s="100">
        <f>488/25</f>
        <v>19.52</v>
      </c>
      <c r="J48" s="73">
        <f t="shared" si="7"/>
        <v>19.52</v>
      </c>
      <c r="K48" s="73">
        <f t="shared" si="8"/>
        <v>724.97279999999989</v>
      </c>
      <c r="L48" s="82">
        <f t="shared" si="9"/>
        <v>724.97279999999989</v>
      </c>
    </row>
    <row r="49" spans="1:12" s="9" customFormat="1" x14ac:dyDescent="0.25">
      <c r="A49" s="118">
        <v>38</v>
      </c>
      <c r="B49" s="45" t="s">
        <v>124</v>
      </c>
      <c r="C49" s="48" t="s">
        <v>76</v>
      </c>
      <c r="D49" s="46">
        <v>12</v>
      </c>
      <c r="E49" s="119">
        <v>1</v>
      </c>
      <c r="F49" s="153">
        <v>600</v>
      </c>
      <c r="G49" s="89">
        <f>E49*F49</f>
        <v>600</v>
      </c>
      <c r="H49" s="89">
        <f>D49*F49</f>
        <v>7200</v>
      </c>
      <c r="I49" s="153"/>
      <c r="J49" s="159"/>
      <c r="K49" s="159"/>
      <c r="L49" s="160">
        <f>H49</f>
        <v>7200</v>
      </c>
    </row>
    <row r="50" spans="1:12" s="9" customFormat="1" x14ac:dyDescent="0.25">
      <c r="A50" s="118">
        <v>39</v>
      </c>
      <c r="B50" s="41" t="s">
        <v>125</v>
      </c>
      <c r="C50" s="42" t="s">
        <v>76</v>
      </c>
      <c r="D50" s="8">
        <f>1.05*7</f>
        <v>7.3500000000000005</v>
      </c>
      <c r="E50" s="123">
        <v>1</v>
      </c>
      <c r="F50" s="153"/>
      <c r="G50" s="89"/>
      <c r="H50" s="89"/>
      <c r="I50" s="101">
        <v>691</v>
      </c>
      <c r="J50" s="73">
        <f t="shared" si="7"/>
        <v>691</v>
      </c>
      <c r="K50" s="73">
        <f t="shared" si="8"/>
        <v>5078.8500000000004</v>
      </c>
      <c r="L50" s="82">
        <f t="shared" si="9"/>
        <v>5078.8500000000004</v>
      </c>
    </row>
    <row r="51" spans="1:12" s="44" customFormat="1" x14ac:dyDescent="0.25">
      <c r="A51" s="118">
        <v>40</v>
      </c>
      <c r="B51" s="41" t="s">
        <v>126</v>
      </c>
      <c r="C51" s="42" t="s">
        <v>76</v>
      </c>
      <c r="D51" s="43">
        <f>1.05*5</f>
        <v>5.25</v>
      </c>
      <c r="E51" s="123">
        <v>1</v>
      </c>
      <c r="F51" s="100"/>
      <c r="G51" s="73"/>
      <c r="H51" s="73"/>
      <c r="I51" s="100">
        <v>691</v>
      </c>
      <c r="J51" s="73">
        <f t="shared" si="7"/>
        <v>691</v>
      </c>
      <c r="K51" s="73">
        <f t="shared" si="8"/>
        <v>3627.75</v>
      </c>
      <c r="L51" s="82">
        <f t="shared" si="9"/>
        <v>3627.75</v>
      </c>
    </row>
    <row r="52" spans="1:12" s="44" customFormat="1" ht="25.5" x14ac:dyDescent="0.25">
      <c r="A52" s="118">
        <v>41</v>
      </c>
      <c r="B52" s="41" t="s">
        <v>121</v>
      </c>
      <c r="C52" s="42" t="s">
        <v>19</v>
      </c>
      <c r="D52" s="43">
        <f>4*D49</f>
        <v>48</v>
      </c>
      <c r="E52" s="123">
        <v>1</v>
      </c>
      <c r="F52" s="100"/>
      <c r="G52" s="73"/>
      <c r="H52" s="73"/>
      <c r="I52" s="100">
        <f>488/25</f>
        <v>19.52</v>
      </c>
      <c r="J52" s="73">
        <f t="shared" si="7"/>
        <v>19.52</v>
      </c>
      <c r="K52" s="73">
        <f t="shared" si="8"/>
        <v>936.96</v>
      </c>
      <c r="L52" s="82">
        <f t="shared" si="9"/>
        <v>936.96</v>
      </c>
    </row>
    <row r="53" spans="1:12" s="44" customFormat="1" x14ac:dyDescent="0.25">
      <c r="A53" s="118">
        <v>42</v>
      </c>
      <c r="B53" s="41" t="s">
        <v>122</v>
      </c>
      <c r="C53" s="42" t="s">
        <v>3</v>
      </c>
      <c r="D53" s="43">
        <v>2</v>
      </c>
      <c r="E53" s="123">
        <v>1</v>
      </c>
      <c r="F53" s="100"/>
      <c r="G53" s="73"/>
      <c r="H53" s="73"/>
      <c r="I53" s="100">
        <v>50</v>
      </c>
      <c r="J53" s="73">
        <f t="shared" si="7"/>
        <v>50</v>
      </c>
      <c r="K53" s="73">
        <f t="shared" si="8"/>
        <v>100</v>
      </c>
      <c r="L53" s="82">
        <f t="shared" si="9"/>
        <v>100</v>
      </c>
    </row>
    <row r="54" spans="1:12" s="9" customFormat="1" ht="25.5" x14ac:dyDescent="0.25">
      <c r="A54" s="118">
        <v>43</v>
      </c>
      <c r="B54" s="45" t="s">
        <v>127</v>
      </c>
      <c r="C54" s="48" t="s">
        <v>76</v>
      </c>
      <c r="D54" s="46">
        <f>4.3+18.7</f>
        <v>23</v>
      </c>
      <c r="E54" s="119">
        <v>1</v>
      </c>
      <c r="F54" s="153">
        <v>600</v>
      </c>
      <c r="G54" s="89">
        <f>E54*F54</f>
        <v>600</v>
      </c>
      <c r="H54" s="89">
        <f>D54*F54</f>
        <v>13800</v>
      </c>
      <c r="I54" s="153"/>
      <c r="J54" s="159"/>
      <c r="K54" s="159"/>
      <c r="L54" s="160">
        <f>H54</f>
        <v>13800</v>
      </c>
    </row>
    <row r="55" spans="1:12" s="44" customFormat="1" ht="23.25" customHeight="1" x14ac:dyDescent="0.25">
      <c r="A55" s="118">
        <v>44</v>
      </c>
      <c r="B55" s="41" t="s">
        <v>128</v>
      </c>
      <c r="C55" s="42" t="s">
        <v>76</v>
      </c>
      <c r="D55" s="43">
        <f>D54*1.05</f>
        <v>24.150000000000002</v>
      </c>
      <c r="E55" s="123">
        <v>1</v>
      </c>
      <c r="F55" s="100"/>
      <c r="G55" s="73"/>
      <c r="H55" s="73"/>
      <c r="I55" s="100">
        <v>425</v>
      </c>
      <c r="J55" s="73">
        <f t="shared" si="7"/>
        <v>425</v>
      </c>
      <c r="K55" s="73">
        <f t="shared" si="8"/>
        <v>10263.75</v>
      </c>
      <c r="L55" s="82">
        <f t="shared" si="9"/>
        <v>10263.75</v>
      </c>
    </row>
    <row r="56" spans="1:12" s="9" customFormat="1" ht="25.5" x14ac:dyDescent="0.25">
      <c r="A56" s="118">
        <v>45</v>
      </c>
      <c r="B56" s="45" t="s">
        <v>129</v>
      </c>
      <c r="C56" s="48" t="s">
        <v>20</v>
      </c>
      <c r="D56" s="46">
        <f>50.27+46.5</f>
        <v>96.77000000000001</v>
      </c>
      <c r="E56" s="119">
        <v>1</v>
      </c>
      <c r="F56" s="153">
        <v>60</v>
      </c>
      <c r="G56" s="89">
        <f>E56*F56</f>
        <v>60</v>
      </c>
      <c r="H56" s="89">
        <f>D56*G56</f>
        <v>5806.2000000000007</v>
      </c>
      <c r="I56" s="153"/>
      <c r="J56" s="89"/>
      <c r="K56" s="89"/>
      <c r="L56" s="90">
        <f>H56</f>
        <v>5806.2000000000007</v>
      </c>
    </row>
    <row r="57" spans="1:12" s="44" customFormat="1" x14ac:dyDescent="0.25">
      <c r="A57" s="118">
        <v>46</v>
      </c>
      <c r="B57" s="41" t="s">
        <v>31</v>
      </c>
      <c r="C57" s="42" t="s">
        <v>30</v>
      </c>
      <c r="D57" s="43">
        <f>D56*0.15</f>
        <v>14.515500000000001</v>
      </c>
      <c r="E57" s="119">
        <v>1</v>
      </c>
      <c r="F57" s="100"/>
      <c r="G57" s="73"/>
      <c r="H57" s="73"/>
      <c r="I57" s="100">
        <v>59</v>
      </c>
      <c r="J57" s="73">
        <f>E57*I57</f>
        <v>59</v>
      </c>
      <c r="K57" s="73">
        <f>D57*J57</f>
        <v>856.41450000000009</v>
      </c>
      <c r="L57" s="82">
        <f>K57</f>
        <v>856.41450000000009</v>
      </c>
    </row>
    <row r="58" spans="1:12" s="9" customFormat="1" ht="38.25" x14ac:dyDescent="0.25">
      <c r="A58" s="118">
        <v>47</v>
      </c>
      <c r="B58" s="45" t="s">
        <v>130</v>
      </c>
      <c r="C58" s="48" t="s">
        <v>41</v>
      </c>
      <c r="D58" s="46">
        <f>50.27+46.5</f>
        <v>96.77000000000001</v>
      </c>
      <c r="E58" s="119">
        <v>1</v>
      </c>
      <c r="F58" s="153"/>
      <c r="G58" s="89">
        <f>250+50</f>
        <v>300</v>
      </c>
      <c r="H58" s="89">
        <f>D58*G58</f>
        <v>29031.000000000004</v>
      </c>
      <c r="I58" s="153"/>
      <c r="J58" s="89"/>
      <c r="K58" s="89"/>
      <c r="L58" s="90">
        <f>H58</f>
        <v>29031.000000000004</v>
      </c>
    </row>
    <row r="59" spans="1:12" s="44" customFormat="1" x14ac:dyDescent="0.25">
      <c r="A59" s="118">
        <v>48</v>
      </c>
      <c r="B59" s="41" t="s">
        <v>42</v>
      </c>
      <c r="C59" s="42" t="s">
        <v>19</v>
      </c>
      <c r="D59" s="43">
        <f>1.2*D58*2</f>
        <v>232.24800000000002</v>
      </c>
      <c r="E59" s="123">
        <v>1</v>
      </c>
      <c r="F59" s="100"/>
      <c r="G59" s="73"/>
      <c r="H59" s="73"/>
      <c r="I59" s="100">
        <v>29</v>
      </c>
      <c r="J59" s="73">
        <f>E59*I59</f>
        <v>29</v>
      </c>
      <c r="K59" s="73">
        <f>D59*J59</f>
        <v>6735.1920000000009</v>
      </c>
      <c r="L59" s="82">
        <f>K59</f>
        <v>6735.1920000000009</v>
      </c>
    </row>
    <row r="60" spans="1:12" s="44" customFormat="1" x14ac:dyDescent="0.25">
      <c r="A60" s="118">
        <v>49</v>
      </c>
      <c r="B60" s="41" t="s">
        <v>71</v>
      </c>
      <c r="C60" s="42" t="s">
        <v>20</v>
      </c>
      <c r="D60" s="43">
        <f>D58</f>
        <v>96.77000000000001</v>
      </c>
      <c r="E60" s="119">
        <v>1</v>
      </c>
      <c r="F60" s="100"/>
      <c r="G60" s="73"/>
      <c r="H60" s="73"/>
      <c r="I60" s="100">
        <v>11</v>
      </c>
      <c r="J60" s="73">
        <f>E60*I60</f>
        <v>11</v>
      </c>
      <c r="K60" s="73">
        <f>D60*J60</f>
        <v>1064.47</v>
      </c>
      <c r="L60" s="82">
        <f>K60</f>
        <v>1064.47</v>
      </c>
    </row>
    <row r="61" spans="1:12" s="9" customFormat="1" ht="25.5" x14ac:dyDescent="0.25">
      <c r="A61" s="118">
        <v>50</v>
      </c>
      <c r="B61" s="45" t="s">
        <v>70</v>
      </c>
      <c r="C61" s="48" t="s">
        <v>20</v>
      </c>
      <c r="D61" s="46">
        <f>D58</f>
        <v>96.77000000000001</v>
      </c>
      <c r="E61" s="119">
        <v>1</v>
      </c>
      <c r="F61" s="153">
        <v>125</v>
      </c>
      <c r="G61" s="89">
        <f>E61*F61</f>
        <v>125</v>
      </c>
      <c r="H61" s="89">
        <f>D61*G61</f>
        <v>12096.250000000002</v>
      </c>
      <c r="I61" s="153"/>
      <c r="J61" s="89"/>
      <c r="K61" s="89"/>
      <c r="L61" s="90">
        <f>H61</f>
        <v>12096.250000000002</v>
      </c>
    </row>
    <row r="62" spans="1:12" s="44" customFormat="1" x14ac:dyDescent="0.25">
      <c r="A62" s="118">
        <v>51</v>
      </c>
      <c r="B62" s="41" t="s">
        <v>69</v>
      </c>
      <c r="C62" s="42" t="s">
        <v>19</v>
      </c>
      <c r="D62" s="43">
        <f>1.44*D61</f>
        <v>139.34880000000001</v>
      </c>
      <c r="E62" s="123">
        <v>1</v>
      </c>
      <c r="F62" s="100"/>
      <c r="G62" s="73"/>
      <c r="H62" s="73"/>
      <c r="I62" s="100">
        <v>49</v>
      </c>
      <c r="J62" s="73">
        <f>E62*I62</f>
        <v>49</v>
      </c>
      <c r="K62" s="73">
        <f>D62*J62</f>
        <v>6828.0912000000008</v>
      </c>
      <c r="L62" s="82">
        <f>K62</f>
        <v>6828.0912000000008</v>
      </c>
    </row>
    <row r="63" spans="1:12" s="9" customFormat="1" ht="25.5" x14ac:dyDescent="0.25">
      <c r="A63" s="118">
        <v>52</v>
      </c>
      <c r="B63" s="45" t="s">
        <v>131</v>
      </c>
      <c r="C63" s="48" t="s">
        <v>76</v>
      </c>
      <c r="D63" s="46">
        <f>D61</f>
        <v>96.77000000000001</v>
      </c>
      <c r="E63" s="119">
        <v>1</v>
      </c>
      <c r="F63" s="153">
        <v>120</v>
      </c>
      <c r="G63" s="25">
        <f>E63*F63</f>
        <v>120</v>
      </c>
      <c r="H63" s="25">
        <f>D63*G63</f>
        <v>11612.400000000001</v>
      </c>
      <c r="I63" s="153"/>
      <c r="J63" s="73"/>
      <c r="K63" s="89"/>
      <c r="L63" s="90">
        <f>H63</f>
        <v>11612.400000000001</v>
      </c>
    </row>
    <row r="64" spans="1:12" s="44" customFormat="1" ht="25.5" x14ac:dyDescent="0.25">
      <c r="A64" s="118">
        <v>53</v>
      </c>
      <c r="B64" s="41" t="s">
        <v>132</v>
      </c>
      <c r="C64" s="42" t="s">
        <v>19</v>
      </c>
      <c r="D64" s="43">
        <f>50.27*0.15*2*1.2</f>
        <v>18.097199999999997</v>
      </c>
      <c r="E64" s="123">
        <v>1</v>
      </c>
      <c r="F64" s="100"/>
      <c r="G64" s="73"/>
      <c r="H64" s="73"/>
      <c r="I64" s="100">
        <f>448.56</f>
        <v>448.56</v>
      </c>
      <c r="J64" s="73">
        <f>E64*I64</f>
        <v>448.56</v>
      </c>
      <c r="K64" s="73">
        <f>D64*I64</f>
        <v>8117.6800319999984</v>
      </c>
      <c r="L64" s="82">
        <f>K64</f>
        <v>8117.6800319999984</v>
      </c>
    </row>
    <row r="65" spans="1:12" s="44" customFormat="1" ht="25.5" x14ac:dyDescent="0.25">
      <c r="A65" s="118">
        <v>54</v>
      </c>
      <c r="B65" s="41" t="s">
        <v>133</v>
      </c>
      <c r="C65" s="42" t="s">
        <v>19</v>
      </c>
      <c r="D65" s="43">
        <f>46.5*0.15*2*1.2</f>
        <v>16.739999999999998</v>
      </c>
      <c r="E65" s="123">
        <v>2</v>
      </c>
      <c r="F65" s="100"/>
      <c r="G65" s="73"/>
      <c r="H65" s="73"/>
      <c r="I65" s="100">
        <f>448.56</f>
        <v>448.56</v>
      </c>
      <c r="J65" s="73">
        <f>E65*I65</f>
        <v>897.12</v>
      </c>
      <c r="K65" s="73">
        <f>D65*I65</f>
        <v>7508.8943999999992</v>
      </c>
      <c r="L65" s="82">
        <f>K65</f>
        <v>7508.8943999999992</v>
      </c>
    </row>
    <row r="66" spans="1:12" s="9" customFormat="1" x14ac:dyDescent="0.25">
      <c r="A66" s="118">
        <v>55</v>
      </c>
      <c r="B66" s="45" t="s">
        <v>135</v>
      </c>
      <c r="C66" s="48" t="s">
        <v>44</v>
      </c>
      <c r="D66" s="46">
        <v>1</v>
      </c>
      <c r="E66" s="119">
        <v>1</v>
      </c>
      <c r="F66" s="153">
        <v>2500</v>
      </c>
      <c r="G66" s="89">
        <f>E66*F66</f>
        <v>2500</v>
      </c>
      <c r="H66" s="89">
        <f>D66*G66</f>
        <v>2500</v>
      </c>
      <c r="I66" s="153"/>
      <c r="J66" s="89"/>
      <c r="K66" s="89"/>
      <c r="L66" s="90">
        <f>H66</f>
        <v>2500</v>
      </c>
    </row>
    <row r="67" spans="1:12" s="44" customFormat="1" x14ac:dyDescent="0.25">
      <c r="A67" s="118">
        <v>56</v>
      </c>
      <c r="B67" s="41" t="s">
        <v>136</v>
      </c>
      <c r="C67" s="42" t="s">
        <v>137</v>
      </c>
      <c r="D67" s="43">
        <v>1</v>
      </c>
      <c r="E67" s="134">
        <v>1</v>
      </c>
      <c r="F67" s="100"/>
      <c r="G67" s="73"/>
      <c r="H67" s="73"/>
      <c r="I67" s="100">
        <v>5000</v>
      </c>
      <c r="J67" s="73">
        <f>E67*I67</f>
        <v>5000</v>
      </c>
      <c r="K67" s="73">
        <f>D67*J67</f>
        <v>5000</v>
      </c>
      <c r="L67" s="82">
        <f>K67</f>
        <v>5000</v>
      </c>
    </row>
    <row r="68" spans="1:12" s="44" customFormat="1" x14ac:dyDescent="0.25">
      <c r="A68" s="118">
        <v>57</v>
      </c>
      <c r="B68" s="74" t="s">
        <v>43</v>
      </c>
      <c r="C68" s="42"/>
      <c r="D68" s="43"/>
      <c r="E68" s="123"/>
      <c r="F68" s="100"/>
      <c r="G68" s="73"/>
      <c r="H68" s="73"/>
      <c r="I68" s="100"/>
      <c r="J68" s="73"/>
      <c r="K68" s="73"/>
      <c r="L68" s="82"/>
    </row>
    <row r="69" spans="1:12" s="9" customFormat="1" ht="39.75" customHeight="1" x14ac:dyDescent="0.25">
      <c r="A69" s="118">
        <v>58</v>
      </c>
      <c r="B69" s="45" t="s">
        <v>142</v>
      </c>
      <c r="C69" s="48" t="s">
        <v>18</v>
      </c>
      <c r="D69" s="48">
        <v>15</v>
      </c>
      <c r="E69" s="48">
        <v>1</v>
      </c>
      <c r="F69" s="167">
        <v>250</v>
      </c>
      <c r="G69" s="89">
        <f>E69*F69</f>
        <v>250</v>
      </c>
      <c r="H69" s="89">
        <f>D69*G69</f>
        <v>3750</v>
      </c>
      <c r="I69" s="153"/>
      <c r="J69" s="89"/>
      <c r="K69" s="89"/>
      <c r="L69" s="90">
        <f>H69</f>
        <v>3750</v>
      </c>
    </row>
    <row r="70" spans="1:12" s="44" customFormat="1" ht="25.5" x14ac:dyDescent="0.25">
      <c r="A70" s="118">
        <v>59</v>
      </c>
      <c r="B70" s="45" t="s">
        <v>140</v>
      </c>
      <c r="C70" s="42" t="s">
        <v>139</v>
      </c>
      <c r="D70" s="43">
        <v>150</v>
      </c>
      <c r="E70" s="123">
        <v>1</v>
      </c>
      <c r="F70" s="100">
        <v>95</v>
      </c>
      <c r="G70" s="89">
        <f>E70*F70</f>
        <v>95</v>
      </c>
      <c r="H70" s="89">
        <f>D70*G70</f>
        <v>14250</v>
      </c>
      <c r="I70" s="154"/>
      <c r="J70" s="155"/>
      <c r="K70" s="73"/>
      <c r="L70" s="82">
        <f>H70</f>
        <v>14250</v>
      </c>
    </row>
    <row r="71" spans="1:12" s="44" customFormat="1" ht="29.25" customHeight="1" x14ac:dyDescent="0.25">
      <c r="A71" s="118">
        <v>60</v>
      </c>
      <c r="B71" s="41" t="s">
        <v>138</v>
      </c>
      <c r="C71" s="42" t="s">
        <v>18</v>
      </c>
      <c r="D71" s="43">
        <f>1.02*150</f>
        <v>153</v>
      </c>
      <c r="E71" s="42">
        <v>1</v>
      </c>
      <c r="F71" s="100"/>
      <c r="G71" s="89"/>
      <c r="H71" s="89"/>
      <c r="I71" s="161">
        <v>68.5</v>
      </c>
      <c r="J71" s="73">
        <f>E71*I71</f>
        <v>68.5</v>
      </c>
      <c r="K71" s="73">
        <f>D71*J71</f>
        <v>10480.5</v>
      </c>
      <c r="L71" s="82">
        <f>K71</f>
        <v>10480.5</v>
      </c>
    </row>
    <row r="72" spans="1:12" s="44" customFormat="1" ht="29.25" customHeight="1" x14ac:dyDescent="0.25">
      <c r="A72" s="118">
        <v>61</v>
      </c>
      <c r="B72" s="41" t="s">
        <v>156</v>
      </c>
      <c r="C72" s="10" t="s">
        <v>18</v>
      </c>
      <c r="D72" s="43">
        <v>150</v>
      </c>
      <c r="E72" s="10">
        <v>1</v>
      </c>
      <c r="F72" s="100"/>
      <c r="G72" s="47"/>
      <c r="H72" s="47"/>
      <c r="I72" s="161">
        <v>50</v>
      </c>
      <c r="J72" s="73">
        <f>E72*I72</f>
        <v>50</v>
      </c>
      <c r="K72" s="25">
        <f>D72*J72</f>
        <v>7500</v>
      </c>
      <c r="L72" s="88">
        <f>K72</f>
        <v>7500</v>
      </c>
    </row>
    <row r="73" spans="1:12" s="44" customFormat="1" x14ac:dyDescent="0.25">
      <c r="A73" s="118">
        <v>62</v>
      </c>
      <c r="B73" s="45" t="s">
        <v>141</v>
      </c>
      <c r="C73" s="42" t="s">
        <v>139</v>
      </c>
      <c r="D73" s="43">
        <v>150</v>
      </c>
      <c r="E73" s="123">
        <v>1</v>
      </c>
      <c r="F73" s="100">
        <v>95</v>
      </c>
      <c r="G73" s="89">
        <f>E73*F73</f>
        <v>95</v>
      </c>
      <c r="H73" s="89">
        <f>D73*G73</f>
        <v>14250</v>
      </c>
      <c r="I73" s="154"/>
      <c r="J73" s="155"/>
      <c r="K73" s="73"/>
      <c r="L73" s="82">
        <f>H73</f>
        <v>14250</v>
      </c>
    </row>
    <row r="74" spans="1:12" s="44" customFormat="1" ht="29.25" customHeight="1" x14ac:dyDescent="0.25">
      <c r="A74" s="118">
        <v>63</v>
      </c>
      <c r="B74" s="41" t="s">
        <v>45</v>
      </c>
      <c r="C74" s="10" t="s">
        <v>18</v>
      </c>
      <c r="D74" s="43">
        <v>230</v>
      </c>
      <c r="E74" s="42">
        <v>1</v>
      </c>
      <c r="F74" s="100"/>
      <c r="G74" s="73"/>
      <c r="H74" s="25"/>
      <c r="I74" s="101">
        <v>9</v>
      </c>
      <c r="J74" s="73">
        <f>E74*I74</f>
        <v>9</v>
      </c>
      <c r="K74" s="25">
        <f>D74*J74</f>
        <v>2070</v>
      </c>
      <c r="L74" s="88">
        <f>K74</f>
        <v>2070</v>
      </c>
    </row>
    <row r="75" spans="1:12" s="44" customFormat="1" ht="29.25" customHeight="1" x14ac:dyDescent="0.25">
      <c r="A75" s="118">
        <v>64</v>
      </c>
      <c r="B75" s="41" t="s">
        <v>95</v>
      </c>
      <c r="C75" s="42" t="s">
        <v>18</v>
      </c>
      <c r="D75" s="43">
        <f>D74*1.02</f>
        <v>234.6</v>
      </c>
      <c r="E75" s="10">
        <v>1</v>
      </c>
      <c r="F75" s="100"/>
      <c r="G75" s="73"/>
      <c r="H75" s="73"/>
      <c r="I75" s="100">
        <v>49.5</v>
      </c>
      <c r="J75" s="73">
        <f>E75*I75</f>
        <v>49.5</v>
      </c>
      <c r="K75" s="25">
        <f>D75*J75</f>
        <v>11612.699999999999</v>
      </c>
      <c r="L75" s="82">
        <f>K75</f>
        <v>11612.699999999999</v>
      </c>
    </row>
    <row r="76" spans="1:12" s="44" customFormat="1" x14ac:dyDescent="0.25">
      <c r="A76" s="118">
        <v>65</v>
      </c>
      <c r="B76" s="45" t="s">
        <v>145</v>
      </c>
      <c r="C76" s="42" t="s">
        <v>139</v>
      </c>
      <c r="D76" s="43">
        <v>30</v>
      </c>
      <c r="E76" s="123">
        <v>1</v>
      </c>
      <c r="F76" s="100">
        <v>95</v>
      </c>
      <c r="G76" s="89">
        <f>E76*F76</f>
        <v>95</v>
      </c>
      <c r="H76" s="89">
        <f>D76*G76</f>
        <v>2850</v>
      </c>
      <c r="I76" s="154"/>
      <c r="J76" s="155"/>
      <c r="K76" s="73"/>
      <c r="L76" s="82">
        <f>H76</f>
        <v>2850</v>
      </c>
    </row>
    <row r="77" spans="1:12" s="44" customFormat="1" ht="29.25" customHeight="1" x14ac:dyDescent="0.25">
      <c r="A77" s="118">
        <v>66</v>
      </c>
      <c r="B77" s="41" t="s">
        <v>51</v>
      </c>
      <c r="C77" s="42" t="s">
        <v>18</v>
      </c>
      <c r="D77" s="43">
        <v>30</v>
      </c>
      <c r="E77" s="10">
        <v>1</v>
      </c>
      <c r="F77" s="100"/>
      <c r="G77" s="25"/>
      <c r="H77" s="73"/>
      <c r="I77" s="100">
        <v>43</v>
      </c>
      <c r="J77" s="73">
        <f>E77*I77</f>
        <v>43</v>
      </c>
      <c r="K77" s="73">
        <f>D77*J77</f>
        <v>1290</v>
      </c>
      <c r="L77" s="82">
        <f>K77</f>
        <v>1290</v>
      </c>
    </row>
    <row r="78" spans="1:12" ht="29.25" customHeight="1" x14ac:dyDescent="0.25">
      <c r="A78" s="118">
        <v>67</v>
      </c>
      <c r="B78" s="45" t="s">
        <v>143</v>
      </c>
      <c r="C78" s="10" t="s">
        <v>44</v>
      </c>
      <c r="D78" s="8">
        <v>18</v>
      </c>
      <c r="E78" s="10">
        <v>1</v>
      </c>
      <c r="F78" s="101">
        <v>150</v>
      </c>
      <c r="G78" s="25">
        <f>E78*F78</f>
        <v>150</v>
      </c>
      <c r="H78" s="25">
        <f>D78*G78</f>
        <v>2700</v>
      </c>
      <c r="I78" s="101"/>
      <c r="J78" s="25"/>
      <c r="K78" s="25"/>
      <c r="L78" s="88">
        <f>H78</f>
        <v>2700</v>
      </c>
    </row>
    <row r="79" spans="1:12" s="9" customFormat="1" x14ac:dyDescent="0.25">
      <c r="A79" s="118">
        <v>68</v>
      </c>
      <c r="B79" s="45" t="s">
        <v>144</v>
      </c>
      <c r="C79" s="10" t="s">
        <v>44</v>
      </c>
      <c r="D79" s="8">
        <v>18</v>
      </c>
      <c r="E79" s="10">
        <v>1</v>
      </c>
      <c r="F79" s="101">
        <v>150</v>
      </c>
      <c r="G79" s="25">
        <f>E79*F79</f>
        <v>150</v>
      </c>
      <c r="H79" s="25">
        <f>D79*G79</f>
        <v>2700</v>
      </c>
      <c r="I79" s="101"/>
      <c r="J79" s="73"/>
      <c r="K79" s="25"/>
      <c r="L79" s="88">
        <f>H79</f>
        <v>2700</v>
      </c>
    </row>
    <row r="80" spans="1:12" s="44" customFormat="1" x14ac:dyDescent="0.25">
      <c r="A80" s="118">
        <v>69</v>
      </c>
      <c r="B80" s="41" t="s">
        <v>47</v>
      </c>
      <c r="C80" s="42" t="s">
        <v>44</v>
      </c>
      <c r="D80" s="43">
        <v>18</v>
      </c>
      <c r="E80" s="42">
        <v>1</v>
      </c>
      <c r="F80" s="100"/>
      <c r="G80" s="73"/>
      <c r="H80" s="73"/>
      <c r="I80" s="73">
        <v>33</v>
      </c>
      <c r="J80" s="73">
        <f>E80*I80</f>
        <v>33</v>
      </c>
      <c r="K80" s="73">
        <f>D80*J80</f>
        <v>594</v>
      </c>
      <c r="L80" s="82">
        <f>K80</f>
        <v>594</v>
      </c>
    </row>
    <row r="81" spans="1:12" s="49" customFormat="1" x14ac:dyDescent="0.25">
      <c r="A81" s="118">
        <v>70</v>
      </c>
      <c r="B81" s="41" t="s">
        <v>48</v>
      </c>
      <c r="C81" s="42" t="s">
        <v>19</v>
      </c>
      <c r="D81" s="43">
        <v>10</v>
      </c>
      <c r="E81" s="10">
        <v>1</v>
      </c>
      <c r="F81" s="100"/>
      <c r="G81" s="73"/>
      <c r="H81" s="73"/>
      <c r="I81" s="73">
        <v>16</v>
      </c>
      <c r="J81" s="73">
        <f>E81*I81</f>
        <v>16</v>
      </c>
      <c r="K81" s="73">
        <f>D81*J81</f>
        <v>160</v>
      </c>
      <c r="L81" s="82">
        <f>K81</f>
        <v>160</v>
      </c>
    </row>
    <row r="82" spans="1:12" s="44" customFormat="1" x14ac:dyDescent="0.25">
      <c r="A82" s="118">
        <v>71</v>
      </c>
      <c r="B82" s="45" t="s">
        <v>66</v>
      </c>
      <c r="C82" s="10" t="s">
        <v>18</v>
      </c>
      <c r="D82" s="8">
        <f>D69</f>
        <v>15</v>
      </c>
      <c r="E82" s="42">
        <v>1</v>
      </c>
      <c r="F82" s="101">
        <v>250</v>
      </c>
      <c r="G82" s="25">
        <f>E82*F82</f>
        <v>250</v>
      </c>
      <c r="H82" s="25">
        <f>D82*F82</f>
        <v>3750</v>
      </c>
      <c r="I82" s="101"/>
      <c r="J82" s="25"/>
      <c r="K82" s="25"/>
      <c r="L82" s="88">
        <f>H82</f>
        <v>3750</v>
      </c>
    </row>
    <row r="83" spans="1:12" s="44" customFormat="1" ht="29.25" customHeight="1" x14ac:dyDescent="0.25">
      <c r="A83" s="118">
        <v>72</v>
      </c>
      <c r="B83" s="41" t="s">
        <v>32</v>
      </c>
      <c r="C83" s="42" t="s">
        <v>19</v>
      </c>
      <c r="D83" s="43">
        <f>2.5*D82</f>
        <v>37.5</v>
      </c>
      <c r="E83" s="42">
        <v>1</v>
      </c>
      <c r="F83" s="100"/>
      <c r="G83" s="73"/>
      <c r="H83" s="73"/>
      <c r="I83" s="100">
        <v>14</v>
      </c>
      <c r="J83" s="73">
        <f>E83*I83</f>
        <v>14</v>
      </c>
      <c r="K83" s="73">
        <f>D83*J83</f>
        <v>525</v>
      </c>
      <c r="L83" s="82">
        <f>K83</f>
        <v>525</v>
      </c>
    </row>
    <row r="84" spans="1:12" s="44" customFormat="1" ht="25.5" x14ac:dyDescent="0.25">
      <c r="A84" s="118">
        <v>73</v>
      </c>
      <c r="B84" s="45" t="s">
        <v>49</v>
      </c>
      <c r="C84" s="10" t="s">
        <v>44</v>
      </c>
      <c r="D84" s="8">
        <v>5</v>
      </c>
      <c r="E84" s="42">
        <v>1</v>
      </c>
      <c r="F84" s="101">
        <v>250</v>
      </c>
      <c r="G84" s="25">
        <f>E84*F84</f>
        <v>250</v>
      </c>
      <c r="H84" s="25">
        <f>D84*G84</f>
        <v>1250</v>
      </c>
      <c r="I84" s="101"/>
      <c r="J84" s="25"/>
      <c r="K84" s="25"/>
      <c r="L84" s="88">
        <f>H84</f>
        <v>1250</v>
      </c>
    </row>
    <row r="85" spans="1:12" s="44" customFormat="1" ht="38.25" x14ac:dyDescent="0.25">
      <c r="A85" s="118">
        <v>74</v>
      </c>
      <c r="B85" s="41" t="s">
        <v>50</v>
      </c>
      <c r="C85" s="42" t="s">
        <v>44</v>
      </c>
      <c r="D85" s="43">
        <v>5</v>
      </c>
      <c r="E85" s="10">
        <v>1</v>
      </c>
      <c r="F85" s="100"/>
      <c r="G85" s="73"/>
      <c r="H85" s="73"/>
      <c r="I85" s="73">
        <v>150</v>
      </c>
      <c r="J85" s="73">
        <v>170</v>
      </c>
      <c r="K85" s="73">
        <f>D85*J85</f>
        <v>850</v>
      </c>
      <c r="L85" s="82">
        <f>K85</f>
        <v>850</v>
      </c>
    </row>
    <row r="86" spans="1:12" x14ac:dyDescent="0.25">
      <c r="A86" s="118">
        <v>75</v>
      </c>
      <c r="B86" s="45" t="s">
        <v>52</v>
      </c>
      <c r="C86" s="10" t="s">
        <v>44</v>
      </c>
      <c r="D86" s="8">
        <v>15</v>
      </c>
      <c r="E86" s="10">
        <v>1</v>
      </c>
      <c r="F86" s="101"/>
      <c r="G86" s="25">
        <v>300</v>
      </c>
      <c r="H86" s="25">
        <f>D86*G86</f>
        <v>4500</v>
      </c>
      <c r="I86" s="25"/>
      <c r="J86" s="73"/>
      <c r="K86" s="25"/>
      <c r="L86" s="88">
        <f>H86</f>
        <v>4500</v>
      </c>
    </row>
    <row r="87" spans="1:12" s="44" customFormat="1" x14ac:dyDescent="0.25">
      <c r="A87" s="118">
        <v>76</v>
      </c>
      <c r="B87" s="41" t="s">
        <v>53</v>
      </c>
      <c r="C87" s="42" t="s">
        <v>3</v>
      </c>
      <c r="D87" s="43">
        <v>15</v>
      </c>
      <c r="E87" s="42">
        <v>1</v>
      </c>
      <c r="F87" s="100"/>
      <c r="G87" s="73"/>
      <c r="H87" s="73"/>
      <c r="I87" s="73">
        <v>184</v>
      </c>
      <c r="J87" s="73">
        <f>E87*I87</f>
        <v>184</v>
      </c>
      <c r="K87" s="73">
        <f>D87*J87</f>
        <v>2760</v>
      </c>
      <c r="L87" s="82">
        <f>K87</f>
        <v>2760</v>
      </c>
    </row>
    <row r="88" spans="1:12" x14ac:dyDescent="0.25">
      <c r="A88" s="118">
        <v>77</v>
      </c>
      <c r="B88" s="45" t="s">
        <v>54</v>
      </c>
      <c r="C88" s="10" t="s">
        <v>3</v>
      </c>
      <c r="D88" s="8">
        <v>3</v>
      </c>
      <c r="E88" s="10">
        <v>1</v>
      </c>
      <c r="F88" s="101">
        <v>300</v>
      </c>
      <c r="G88" s="25">
        <f>E88*F88</f>
        <v>300</v>
      </c>
      <c r="H88" s="25">
        <f>D88*G88</f>
        <v>900</v>
      </c>
      <c r="I88" s="25"/>
      <c r="J88" s="73"/>
      <c r="K88" s="25"/>
      <c r="L88" s="88">
        <f>H88</f>
        <v>900</v>
      </c>
    </row>
    <row r="89" spans="1:12" s="44" customFormat="1" ht="29.25" customHeight="1" x14ac:dyDescent="0.25">
      <c r="A89" s="118">
        <v>78</v>
      </c>
      <c r="B89" s="41" t="s">
        <v>55</v>
      </c>
      <c r="C89" s="42" t="s">
        <v>3</v>
      </c>
      <c r="D89" s="43">
        <v>3</v>
      </c>
      <c r="E89" s="42">
        <v>1</v>
      </c>
      <c r="F89" s="100"/>
      <c r="G89" s="47"/>
      <c r="H89" s="73"/>
      <c r="I89" s="73">
        <v>225</v>
      </c>
      <c r="J89" s="73">
        <f>E89*I89</f>
        <v>225</v>
      </c>
      <c r="K89" s="73">
        <f>D89*J89</f>
        <v>675</v>
      </c>
      <c r="L89" s="82">
        <f>K89</f>
        <v>675</v>
      </c>
    </row>
    <row r="90" spans="1:12" ht="25.5" x14ac:dyDescent="0.25">
      <c r="A90" s="118">
        <v>79</v>
      </c>
      <c r="B90" s="45" t="s">
        <v>58</v>
      </c>
      <c r="C90" s="10" t="s">
        <v>3</v>
      </c>
      <c r="D90" s="8">
        <v>1</v>
      </c>
      <c r="E90" s="10">
        <v>1</v>
      </c>
      <c r="F90" s="101"/>
      <c r="G90" s="25">
        <v>1200</v>
      </c>
      <c r="H90" s="25">
        <f>D90*G90</f>
        <v>1200</v>
      </c>
      <c r="I90" s="101"/>
      <c r="J90" s="25"/>
      <c r="K90" s="25"/>
      <c r="L90" s="88">
        <f>H90</f>
        <v>1200</v>
      </c>
    </row>
    <row r="91" spans="1:12" s="44" customFormat="1" x14ac:dyDescent="0.25">
      <c r="A91" s="118">
        <v>80</v>
      </c>
      <c r="B91" s="41" t="s">
        <v>57</v>
      </c>
      <c r="C91" s="42" t="s">
        <v>3</v>
      </c>
      <c r="D91" s="43">
        <v>1</v>
      </c>
      <c r="E91" s="42">
        <v>1</v>
      </c>
      <c r="F91" s="100"/>
      <c r="G91" s="73"/>
      <c r="H91" s="73"/>
      <c r="I91" s="100">
        <v>2490</v>
      </c>
      <c r="J91" s="73">
        <f>E91*I91</f>
        <v>2490</v>
      </c>
      <c r="K91" s="73">
        <f>D91*J91</f>
        <v>2490</v>
      </c>
      <c r="L91" s="82">
        <f>K91</f>
        <v>2490</v>
      </c>
    </row>
    <row r="92" spans="1:12" x14ac:dyDescent="0.25">
      <c r="A92" s="118">
        <v>81</v>
      </c>
      <c r="B92" s="45" t="s">
        <v>146</v>
      </c>
      <c r="C92" s="10" t="s">
        <v>3</v>
      </c>
      <c r="D92" s="8">
        <v>2</v>
      </c>
      <c r="E92" s="10">
        <v>1</v>
      </c>
      <c r="F92" s="101"/>
      <c r="G92" s="25">
        <v>1200</v>
      </c>
      <c r="H92" s="25">
        <f>D92*G92</f>
        <v>2400</v>
      </c>
      <c r="I92" s="101"/>
      <c r="J92" s="73"/>
      <c r="K92" s="25"/>
      <c r="L92" s="88">
        <f>H92</f>
        <v>2400</v>
      </c>
    </row>
    <row r="93" spans="1:12" s="44" customFormat="1" x14ac:dyDescent="0.25">
      <c r="A93" s="118">
        <v>82</v>
      </c>
      <c r="B93" s="41" t="s">
        <v>147</v>
      </c>
      <c r="C93" s="42" t="s">
        <v>3</v>
      </c>
      <c r="D93" s="43">
        <v>2</v>
      </c>
      <c r="E93" s="42">
        <v>1</v>
      </c>
      <c r="F93" s="100"/>
      <c r="G93" s="73"/>
      <c r="H93" s="73"/>
      <c r="I93" s="100">
        <v>1980</v>
      </c>
      <c r="J93" s="73">
        <f>E93*I93</f>
        <v>1980</v>
      </c>
      <c r="K93" s="73">
        <f>D93*J93</f>
        <v>3960</v>
      </c>
      <c r="L93" s="82">
        <f>K93</f>
        <v>3960</v>
      </c>
    </row>
    <row r="94" spans="1:12" ht="25.5" x14ac:dyDescent="0.25">
      <c r="A94" s="118">
        <v>83</v>
      </c>
      <c r="B94" s="45" t="s">
        <v>148</v>
      </c>
      <c r="C94" s="10" t="s">
        <v>3</v>
      </c>
      <c r="D94" s="8">
        <v>1</v>
      </c>
      <c r="E94" s="10">
        <v>1</v>
      </c>
      <c r="F94" s="101">
        <v>5000</v>
      </c>
      <c r="G94" s="25">
        <f>E94*F94</f>
        <v>5000</v>
      </c>
      <c r="H94" s="25">
        <f>D94*G94</f>
        <v>5000</v>
      </c>
      <c r="I94" s="101"/>
      <c r="J94" s="73"/>
      <c r="K94" s="25"/>
      <c r="L94" s="88">
        <f>H94</f>
        <v>5000</v>
      </c>
    </row>
    <row r="95" spans="1:12" s="44" customFormat="1" x14ac:dyDescent="0.25">
      <c r="A95" s="118">
        <v>84</v>
      </c>
      <c r="B95" s="41" t="s">
        <v>149</v>
      </c>
      <c r="C95" s="42" t="s">
        <v>3</v>
      </c>
      <c r="D95" s="43">
        <v>1</v>
      </c>
      <c r="E95" s="42">
        <v>1</v>
      </c>
      <c r="F95" s="100"/>
      <c r="G95" s="73"/>
      <c r="H95" s="73"/>
      <c r="I95" s="100">
        <v>10000</v>
      </c>
      <c r="J95" s="73">
        <f>E95*I95</f>
        <v>10000</v>
      </c>
      <c r="K95" s="73">
        <f>D95*J95</f>
        <v>10000</v>
      </c>
      <c r="L95" s="82">
        <f>K95</f>
        <v>10000</v>
      </c>
    </row>
    <row r="96" spans="1:12" s="9" customFormat="1" x14ac:dyDescent="0.25">
      <c r="A96" s="118">
        <v>85</v>
      </c>
      <c r="B96" s="45" t="s">
        <v>150</v>
      </c>
      <c r="C96" s="42" t="s">
        <v>3</v>
      </c>
      <c r="D96" s="8">
        <v>1</v>
      </c>
      <c r="E96" s="119">
        <v>1</v>
      </c>
      <c r="F96" s="101">
        <v>3500</v>
      </c>
      <c r="G96" s="25">
        <f>E96*F96</f>
        <v>3500</v>
      </c>
      <c r="H96" s="25">
        <f>D96*G96</f>
        <v>3500</v>
      </c>
      <c r="I96" s="101"/>
      <c r="J96" s="73"/>
      <c r="K96" s="25"/>
      <c r="L96" s="88">
        <f>H96</f>
        <v>3500</v>
      </c>
    </row>
    <row r="97" spans="1:12" s="44" customFormat="1" ht="25.5" x14ac:dyDescent="0.25">
      <c r="A97" s="118">
        <v>86</v>
      </c>
      <c r="B97" s="41" t="s">
        <v>99</v>
      </c>
      <c r="C97" s="42" t="s">
        <v>3</v>
      </c>
      <c r="D97" s="43">
        <v>3</v>
      </c>
      <c r="E97" s="42">
        <v>1</v>
      </c>
      <c r="F97" s="100"/>
      <c r="G97" s="73"/>
      <c r="H97" s="73"/>
      <c r="I97" s="100">
        <v>275</v>
      </c>
      <c r="J97" s="73">
        <f>E97*I97</f>
        <v>275</v>
      </c>
      <c r="K97" s="73">
        <f>D97*J97</f>
        <v>825</v>
      </c>
      <c r="L97" s="82">
        <f>K97</f>
        <v>825</v>
      </c>
    </row>
    <row r="98" spans="1:12" s="44" customFormat="1" ht="25.5" x14ac:dyDescent="0.25">
      <c r="A98" s="118">
        <v>87</v>
      </c>
      <c r="B98" s="41" t="s">
        <v>151</v>
      </c>
      <c r="C98" s="42" t="s">
        <v>3</v>
      </c>
      <c r="D98" s="43">
        <v>3</v>
      </c>
      <c r="E98" s="42">
        <v>1</v>
      </c>
      <c r="F98" s="100"/>
      <c r="G98" s="73"/>
      <c r="H98" s="73"/>
      <c r="I98" s="100">
        <v>330</v>
      </c>
      <c r="J98" s="73">
        <f>E98*I98</f>
        <v>330</v>
      </c>
      <c r="K98" s="73">
        <f>D98*J98</f>
        <v>990</v>
      </c>
      <c r="L98" s="82">
        <f>K98</f>
        <v>990</v>
      </c>
    </row>
    <row r="99" spans="1:12" hidden="1" x14ac:dyDescent="0.25">
      <c r="A99" s="118">
        <v>88</v>
      </c>
      <c r="B99" s="45"/>
      <c r="C99" s="10"/>
      <c r="D99" s="8"/>
      <c r="E99" s="123"/>
      <c r="F99" s="101"/>
      <c r="G99" s="25"/>
      <c r="H99" s="25"/>
      <c r="I99" s="101"/>
      <c r="J99" s="25"/>
      <c r="K99" s="25"/>
      <c r="L99" s="88"/>
    </row>
    <row r="100" spans="1:12" s="44" customFormat="1" hidden="1" x14ac:dyDescent="0.25">
      <c r="A100" s="118">
        <v>89</v>
      </c>
      <c r="B100" s="41"/>
      <c r="C100" s="42"/>
      <c r="D100" s="43"/>
      <c r="E100" s="119"/>
      <c r="F100" s="100"/>
      <c r="G100" s="47"/>
      <c r="H100" s="47"/>
      <c r="I100" s="115"/>
      <c r="J100" s="73"/>
      <c r="K100" s="73"/>
      <c r="L100" s="82"/>
    </row>
    <row r="101" spans="1:12" s="44" customFormat="1" hidden="1" x14ac:dyDescent="0.25">
      <c r="A101" s="118">
        <v>90</v>
      </c>
      <c r="B101" s="41"/>
      <c r="C101" s="42"/>
      <c r="D101" s="43"/>
      <c r="E101" s="123"/>
      <c r="F101" s="100"/>
      <c r="G101" s="73"/>
      <c r="H101" s="73"/>
      <c r="I101" s="100"/>
      <c r="J101" s="73"/>
      <c r="K101" s="73"/>
      <c r="L101" s="82"/>
    </row>
    <row r="102" spans="1:12" s="44" customFormat="1" x14ac:dyDescent="0.25">
      <c r="A102" s="118">
        <v>91</v>
      </c>
      <c r="B102" s="41" t="s">
        <v>152</v>
      </c>
      <c r="C102" s="42" t="s">
        <v>3</v>
      </c>
      <c r="D102" s="43">
        <v>1</v>
      </c>
      <c r="E102" s="42">
        <v>1</v>
      </c>
      <c r="F102" s="100"/>
      <c r="G102" s="73"/>
      <c r="H102" s="73"/>
      <c r="I102" s="100">
        <v>2500</v>
      </c>
      <c r="J102" s="73">
        <f t="shared" ref="J102:J108" si="10">E102*I102</f>
        <v>2500</v>
      </c>
      <c r="K102" s="73">
        <f t="shared" ref="K102:K108" si="11">D102*J102</f>
        <v>2500</v>
      </c>
      <c r="L102" s="82">
        <f t="shared" ref="L102:L112" si="12">K102</f>
        <v>2500</v>
      </c>
    </row>
    <row r="103" spans="1:12" s="44" customFormat="1" x14ac:dyDescent="0.25">
      <c r="A103" s="118">
        <v>92</v>
      </c>
      <c r="B103" s="41" t="s">
        <v>59</v>
      </c>
      <c r="C103" s="42" t="s">
        <v>3</v>
      </c>
      <c r="D103" s="43">
        <v>2</v>
      </c>
      <c r="E103" s="42">
        <v>1</v>
      </c>
      <c r="F103" s="100"/>
      <c r="G103" s="73"/>
      <c r="H103" s="73"/>
      <c r="I103" s="73">
        <v>393</v>
      </c>
      <c r="J103" s="73">
        <f t="shared" si="10"/>
        <v>393</v>
      </c>
      <c r="K103" s="73">
        <f t="shared" si="11"/>
        <v>786</v>
      </c>
      <c r="L103" s="82">
        <f t="shared" si="12"/>
        <v>786</v>
      </c>
    </row>
    <row r="104" spans="1:12" s="44" customFormat="1" x14ac:dyDescent="0.25">
      <c r="A104" s="118">
        <v>93</v>
      </c>
      <c r="B104" s="41" t="s">
        <v>60</v>
      </c>
      <c r="C104" s="42" t="s">
        <v>3</v>
      </c>
      <c r="D104" s="43">
        <v>1</v>
      </c>
      <c r="E104" s="10">
        <v>1</v>
      </c>
      <c r="F104" s="100"/>
      <c r="G104" s="73"/>
      <c r="H104" s="73"/>
      <c r="I104" s="73">
        <v>365</v>
      </c>
      <c r="J104" s="73">
        <f t="shared" si="10"/>
        <v>365</v>
      </c>
      <c r="K104" s="73">
        <f t="shared" si="11"/>
        <v>365</v>
      </c>
      <c r="L104" s="82">
        <f t="shared" si="12"/>
        <v>365</v>
      </c>
    </row>
    <row r="105" spans="1:12" s="44" customFormat="1" x14ac:dyDescent="0.25">
      <c r="A105" s="118">
        <v>94</v>
      </c>
      <c r="B105" s="41" t="s">
        <v>61</v>
      </c>
      <c r="C105" s="42" t="s">
        <v>3</v>
      </c>
      <c r="D105" s="43">
        <v>1</v>
      </c>
      <c r="E105" s="42">
        <v>1</v>
      </c>
      <c r="F105" s="100"/>
      <c r="G105" s="73"/>
      <c r="H105" s="73"/>
      <c r="I105" s="73">
        <v>365</v>
      </c>
      <c r="J105" s="73">
        <f t="shared" si="10"/>
        <v>365</v>
      </c>
      <c r="K105" s="73">
        <f t="shared" si="11"/>
        <v>365</v>
      </c>
      <c r="L105" s="82">
        <f t="shared" si="12"/>
        <v>365</v>
      </c>
    </row>
    <row r="106" spans="1:12" s="44" customFormat="1" x14ac:dyDescent="0.25">
      <c r="A106" s="118">
        <v>95</v>
      </c>
      <c r="B106" s="41" t="s">
        <v>63</v>
      </c>
      <c r="C106" s="42" t="s">
        <v>18</v>
      </c>
      <c r="D106" s="43">
        <v>2</v>
      </c>
      <c r="E106" s="10">
        <v>1</v>
      </c>
      <c r="F106" s="100"/>
      <c r="G106" s="73"/>
      <c r="H106" s="73"/>
      <c r="I106" s="73">
        <v>157</v>
      </c>
      <c r="J106" s="73">
        <f t="shared" si="10"/>
        <v>157</v>
      </c>
      <c r="K106" s="73">
        <f t="shared" si="11"/>
        <v>314</v>
      </c>
      <c r="L106" s="82">
        <f t="shared" si="12"/>
        <v>314</v>
      </c>
    </row>
    <row r="107" spans="1:12" s="44" customFormat="1" x14ac:dyDescent="0.25">
      <c r="A107" s="118">
        <v>96</v>
      </c>
      <c r="B107" s="41" t="s">
        <v>62</v>
      </c>
      <c r="C107" s="42" t="s">
        <v>3</v>
      </c>
      <c r="D107" s="43">
        <v>20</v>
      </c>
      <c r="E107" s="42">
        <v>1</v>
      </c>
      <c r="F107" s="100"/>
      <c r="G107" s="73"/>
      <c r="H107" s="73"/>
      <c r="I107" s="73">
        <v>1.7</v>
      </c>
      <c r="J107" s="73">
        <f t="shared" si="10"/>
        <v>1.7</v>
      </c>
      <c r="K107" s="73">
        <f t="shared" si="11"/>
        <v>34</v>
      </c>
      <c r="L107" s="82">
        <f t="shared" si="12"/>
        <v>34</v>
      </c>
    </row>
    <row r="108" spans="1:12" s="44" customFormat="1" x14ac:dyDescent="0.25">
      <c r="A108" s="118">
        <v>97</v>
      </c>
      <c r="B108" s="41" t="s">
        <v>64</v>
      </c>
      <c r="C108" s="42" t="s">
        <v>3</v>
      </c>
      <c r="D108" s="43">
        <v>3</v>
      </c>
      <c r="E108" s="10">
        <v>1</v>
      </c>
      <c r="F108" s="100"/>
      <c r="G108" s="73"/>
      <c r="H108" s="73"/>
      <c r="I108" s="73">
        <v>50</v>
      </c>
      <c r="J108" s="73">
        <f t="shared" si="10"/>
        <v>50</v>
      </c>
      <c r="K108" s="73">
        <f t="shared" si="11"/>
        <v>150</v>
      </c>
      <c r="L108" s="82">
        <f t="shared" si="12"/>
        <v>150</v>
      </c>
    </row>
    <row r="109" spans="1:12" ht="25.5" x14ac:dyDescent="0.25">
      <c r="A109" s="118">
        <v>98</v>
      </c>
      <c r="B109" s="45" t="s">
        <v>153</v>
      </c>
      <c r="C109" s="10" t="s">
        <v>44</v>
      </c>
      <c r="D109" s="8">
        <v>7</v>
      </c>
      <c r="E109" s="10">
        <v>1</v>
      </c>
      <c r="F109" s="101">
        <v>1200</v>
      </c>
      <c r="G109" s="25">
        <f>E109*F109</f>
        <v>1200</v>
      </c>
      <c r="H109" s="25">
        <f>D109*G109</f>
        <v>8400</v>
      </c>
      <c r="I109" s="101"/>
      <c r="J109" s="73"/>
      <c r="K109" s="73"/>
      <c r="L109" s="82">
        <f>H109</f>
        <v>8400</v>
      </c>
    </row>
    <row r="110" spans="1:12" s="44" customFormat="1" ht="27.75" customHeight="1" x14ac:dyDescent="0.25">
      <c r="A110" s="118">
        <v>99</v>
      </c>
      <c r="B110" s="41" t="s">
        <v>154</v>
      </c>
      <c r="C110" s="42" t="s">
        <v>44</v>
      </c>
      <c r="D110" s="43">
        <v>5</v>
      </c>
      <c r="E110" s="42">
        <v>1</v>
      </c>
      <c r="F110" s="100"/>
      <c r="G110" s="73"/>
      <c r="H110" s="73"/>
      <c r="I110" s="100">
        <v>3765</v>
      </c>
      <c r="J110" s="73">
        <f>E110*I110</f>
        <v>3765</v>
      </c>
      <c r="K110" s="73">
        <f>D110*J110</f>
        <v>18825</v>
      </c>
      <c r="L110" s="82">
        <f t="shared" si="12"/>
        <v>18825</v>
      </c>
    </row>
    <row r="111" spans="1:12" s="44" customFormat="1" ht="29.25" customHeight="1" x14ac:dyDescent="0.25">
      <c r="A111" s="118">
        <v>100</v>
      </c>
      <c r="B111" s="41" t="s">
        <v>56</v>
      </c>
      <c r="C111" s="42" t="s">
        <v>3</v>
      </c>
      <c r="D111" s="43">
        <v>9</v>
      </c>
      <c r="E111" s="42">
        <v>1</v>
      </c>
      <c r="F111" s="100"/>
      <c r="G111" s="73"/>
      <c r="H111" s="73"/>
      <c r="I111" s="100"/>
      <c r="J111" s="73">
        <f>71/5</f>
        <v>14.2</v>
      </c>
      <c r="K111" s="73">
        <f>D111*J111</f>
        <v>127.8</v>
      </c>
      <c r="L111" s="82">
        <f t="shared" si="12"/>
        <v>127.8</v>
      </c>
    </row>
    <row r="112" spans="1:12" s="44" customFormat="1" ht="29.25" customHeight="1" x14ac:dyDescent="0.25">
      <c r="A112" s="118">
        <v>101</v>
      </c>
      <c r="B112" s="41" t="s">
        <v>96</v>
      </c>
      <c r="C112" s="42" t="s">
        <v>3</v>
      </c>
      <c r="D112" s="43">
        <v>5</v>
      </c>
      <c r="E112" s="42">
        <v>1</v>
      </c>
      <c r="F112" s="100"/>
      <c r="G112" s="73"/>
      <c r="H112" s="73"/>
      <c r="I112" s="100"/>
      <c r="J112" s="73">
        <v>190</v>
      </c>
      <c r="K112" s="73">
        <f>D112*J112</f>
        <v>950</v>
      </c>
      <c r="L112" s="82">
        <f t="shared" si="12"/>
        <v>950</v>
      </c>
    </row>
    <row r="113" spans="1:12" s="9" customFormat="1" x14ac:dyDescent="0.25">
      <c r="A113" s="118">
        <v>102</v>
      </c>
      <c r="B113" s="45" t="s">
        <v>97</v>
      </c>
      <c r="C113" s="48" t="s">
        <v>44</v>
      </c>
      <c r="D113" s="46">
        <v>5</v>
      </c>
      <c r="E113" s="48">
        <v>1</v>
      </c>
      <c r="F113" s="153">
        <v>1500</v>
      </c>
      <c r="G113" s="89">
        <f>E113*F113</f>
        <v>1500</v>
      </c>
      <c r="H113" s="89">
        <f>D113*G113</f>
        <v>7500</v>
      </c>
      <c r="I113" s="153"/>
      <c r="J113" s="159"/>
      <c r="K113" s="159"/>
      <c r="L113" s="160">
        <f>H113</f>
        <v>7500</v>
      </c>
    </row>
    <row r="114" spans="1:12" s="44" customFormat="1" x14ac:dyDescent="0.25">
      <c r="A114" s="118">
        <v>103</v>
      </c>
      <c r="B114" s="41" t="s">
        <v>155</v>
      </c>
      <c r="C114" s="42" t="s">
        <v>44</v>
      </c>
      <c r="D114" s="43">
        <v>8</v>
      </c>
      <c r="E114" s="42">
        <v>1</v>
      </c>
      <c r="F114" s="100"/>
      <c r="G114" s="73"/>
      <c r="H114" s="73"/>
      <c r="I114" s="100">
        <v>850</v>
      </c>
      <c r="J114" s="73">
        <f>E114*I114</f>
        <v>850</v>
      </c>
      <c r="K114" s="73">
        <f>D114*J114</f>
        <v>6800</v>
      </c>
      <c r="L114" s="82">
        <f>K114</f>
        <v>6800</v>
      </c>
    </row>
    <row r="115" spans="1:12" s="9" customFormat="1" ht="25.5" x14ac:dyDescent="0.25">
      <c r="A115" s="118">
        <v>104</v>
      </c>
      <c r="B115" s="45" t="s">
        <v>157</v>
      </c>
      <c r="C115" s="48" t="s">
        <v>44</v>
      </c>
      <c r="D115" s="46">
        <v>12</v>
      </c>
      <c r="E115" s="48">
        <v>1</v>
      </c>
      <c r="F115" s="153">
        <v>1200</v>
      </c>
      <c r="G115" s="89">
        <f>E115*F115</f>
        <v>1200</v>
      </c>
      <c r="H115" s="89">
        <f>D115*G115</f>
        <v>14400</v>
      </c>
      <c r="I115" s="153"/>
      <c r="J115" s="159"/>
      <c r="K115" s="159"/>
      <c r="L115" s="160">
        <f>H115</f>
        <v>14400</v>
      </c>
    </row>
    <row r="116" spans="1:12" s="44" customFormat="1" x14ac:dyDescent="0.25">
      <c r="A116" s="118">
        <v>105</v>
      </c>
      <c r="B116" s="41" t="s">
        <v>158</v>
      </c>
      <c r="C116" s="42" t="s">
        <v>44</v>
      </c>
      <c r="D116" s="43">
        <v>12</v>
      </c>
      <c r="E116" s="119">
        <v>1</v>
      </c>
      <c r="F116" s="100"/>
      <c r="G116" s="73"/>
      <c r="H116" s="73"/>
      <c r="I116" s="100">
        <v>2300</v>
      </c>
      <c r="J116" s="73">
        <f>E116*I116</f>
        <v>2300</v>
      </c>
      <c r="K116" s="73">
        <f>D116*J116</f>
        <v>27600</v>
      </c>
      <c r="L116" s="82">
        <f>K116</f>
        <v>27600</v>
      </c>
    </row>
    <row r="117" spans="1:12" s="44" customFormat="1" ht="29.25" customHeight="1" x14ac:dyDescent="0.25">
      <c r="A117" s="118">
        <v>106</v>
      </c>
      <c r="B117" s="41" t="s">
        <v>56</v>
      </c>
      <c r="C117" s="42" t="s">
        <v>3</v>
      </c>
      <c r="D117" s="43">
        <f>3*D116</f>
        <v>36</v>
      </c>
      <c r="E117" s="42">
        <v>1</v>
      </c>
      <c r="F117" s="100"/>
      <c r="G117" s="73"/>
      <c r="H117" s="73"/>
      <c r="I117" s="100"/>
      <c r="J117" s="73">
        <f>71/5</f>
        <v>14.2</v>
      </c>
      <c r="K117" s="73">
        <f>D117*J117</f>
        <v>511.2</v>
      </c>
      <c r="L117" s="82">
        <f>K117</f>
        <v>511.2</v>
      </c>
    </row>
    <row r="118" spans="1:12" x14ac:dyDescent="0.25">
      <c r="A118" s="118">
        <v>107</v>
      </c>
      <c r="B118" s="45" t="s">
        <v>160</v>
      </c>
      <c r="C118" s="48" t="s">
        <v>44</v>
      </c>
      <c r="D118" s="46">
        <v>5</v>
      </c>
      <c r="E118" s="48">
        <v>1</v>
      </c>
      <c r="F118" s="153">
        <v>1200</v>
      </c>
      <c r="G118" s="89">
        <f>E118*F118</f>
        <v>1200</v>
      </c>
      <c r="H118" s="89">
        <f>D118*G118</f>
        <v>6000</v>
      </c>
      <c r="I118" s="153"/>
      <c r="J118" s="159"/>
      <c r="K118" s="159"/>
      <c r="L118" s="160">
        <f>H118</f>
        <v>6000</v>
      </c>
    </row>
    <row r="119" spans="1:12" s="44" customFormat="1" x14ac:dyDescent="0.25">
      <c r="A119" s="118">
        <v>108</v>
      </c>
      <c r="B119" s="41" t="s">
        <v>159</v>
      </c>
      <c r="C119" s="42" t="s">
        <v>44</v>
      </c>
      <c r="D119" s="43">
        <v>5</v>
      </c>
      <c r="E119" s="119">
        <v>1</v>
      </c>
      <c r="F119" s="100"/>
      <c r="G119" s="73"/>
      <c r="H119" s="73"/>
      <c r="I119" s="100">
        <v>1500</v>
      </c>
      <c r="J119" s="73">
        <f>E119*I119</f>
        <v>1500</v>
      </c>
      <c r="K119" s="73">
        <f>D119*J119</f>
        <v>7500</v>
      </c>
      <c r="L119" s="82">
        <f>K119</f>
        <v>7500</v>
      </c>
    </row>
    <row r="120" spans="1:12" s="44" customFormat="1" ht="29.25" customHeight="1" x14ac:dyDescent="0.25">
      <c r="A120" s="118">
        <v>109</v>
      </c>
      <c r="B120" s="41" t="s">
        <v>56</v>
      </c>
      <c r="C120" s="42" t="s">
        <v>3</v>
      </c>
      <c r="D120" s="43">
        <f>3*D119</f>
        <v>15</v>
      </c>
      <c r="E120" s="42">
        <v>1</v>
      </c>
      <c r="F120" s="100"/>
      <c r="G120" s="73"/>
      <c r="H120" s="73"/>
      <c r="I120" s="100"/>
      <c r="J120" s="73">
        <f>71/5</f>
        <v>14.2</v>
      </c>
      <c r="K120" s="73">
        <f>D120*J120</f>
        <v>213</v>
      </c>
      <c r="L120" s="82">
        <f>K120</f>
        <v>213</v>
      </c>
    </row>
    <row r="121" spans="1:12" s="44" customFormat="1" ht="29.25" customHeight="1" x14ac:dyDescent="0.25">
      <c r="A121" s="118">
        <v>110</v>
      </c>
      <c r="B121" s="41" t="s">
        <v>96</v>
      </c>
      <c r="C121" s="42" t="s">
        <v>3</v>
      </c>
      <c r="D121" s="43">
        <v>5</v>
      </c>
      <c r="E121" s="42">
        <v>1</v>
      </c>
      <c r="F121" s="100"/>
      <c r="G121" s="73"/>
      <c r="H121" s="73"/>
      <c r="I121" s="100"/>
      <c r="J121" s="73">
        <v>150</v>
      </c>
      <c r="K121" s="73">
        <f>D121*J121</f>
        <v>750</v>
      </c>
      <c r="L121" s="82">
        <f>K121</f>
        <v>750</v>
      </c>
    </row>
    <row r="122" spans="1:12" s="9" customFormat="1" ht="30" customHeight="1" x14ac:dyDescent="0.25">
      <c r="A122" s="118">
        <v>111</v>
      </c>
      <c r="B122" s="45" t="s">
        <v>98</v>
      </c>
      <c r="C122" s="48" t="s">
        <v>3</v>
      </c>
      <c r="D122" s="46">
        <v>1</v>
      </c>
      <c r="E122" s="138">
        <v>1</v>
      </c>
      <c r="F122" s="153"/>
      <c r="G122" s="89">
        <v>1400</v>
      </c>
      <c r="H122" s="89">
        <f>D122*G122</f>
        <v>1400</v>
      </c>
      <c r="I122" s="153"/>
      <c r="J122" s="89"/>
      <c r="K122" s="89"/>
      <c r="L122" s="90">
        <f>H122</f>
        <v>1400</v>
      </c>
    </row>
    <row r="123" spans="1:12" s="44" customFormat="1" ht="29.25" customHeight="1" x14ac:dyDescent="0.25">
      <c r="A123" s="118">
        <v>112</v>
      </c>
      <c r="B123" s="41" t="s">
        <v>161</v>
      </c>
      <c r="C123" s="42" t="s">
        <v>3</v>
      </c>
      <c r="D123" s="43">
        <v>1</v>
      </c>
      <c r="E123" s="10">
        <v>1</v>
      </c>
      <c r="F123" s="100"/>
      <c r="G123" s="73"/>
      <c r="H123" s="73"/>
      <c r="I123" s="100">
        <v>3000</v>
      </c>
      <c r="J123" s="73">
        <f>E123*I123</f>
        <v>3000</v>
      </c>
      <c r="K123" s="73">
        <f>D123*J123</f>
        <v>3000</v>
      </c>
      <c r="L123" s="82">
        <f>K123</f>
        <v>3000</v>
      </c>
    </row>
    <row r="124" spans="1:12" s="44" customFormat="1" x14ac:dyDescent="0.25">
      <c r="A124" s="118">
        <v>113</v>
      </c>
      <c r="B124" s="41" t="s">
        <v>46</v>
      </c>
      <c r="C124" s="42" t="s">
        <v>3</v>
      </c>
      <c r="D124" s="43">
        <v>4</v>
      </c>
      <c r="E124" s="42">
        <v>1</v>
      </c>
      <c r="F124" s="100"/>
      <c r="G124" s="73"/>
      <c r="H124" s="73"/>
      <c r="I124" s="100">
        <v>4.03</v>
      </c>
      <c r="J124" s="73">
        <f>E124*I124</f>
        <v>4.03</v>
      </c>
      <c r="K124" s="73">
        <f>D124*J124</f>
        <v>16.12</v>
      </c>
      <c r="L124" s="82">
        <f>K124</f>
        <v>16.12</v>
      </c>
    </row>
    <row r="125" spans="1:12" s="44" customFormat="1" ht="25.5" x14ac:dyDescent="0.25">
      <c r="A125" s="118">
        <v>114</v>
      </c>
      <c r="B125" s="41" t="s">
        <v>56</v>
      </c>
      <c r="C125" s="42" t="s">
        <v>3</v>
      </c>
      <c r="D125" s="43">
        <v>3</v>
      </c>
      <c r="E125" s="10">
        <v>1</v>
      </c>
      <c r="F125" s="100"/>
      <c r="G125" s="73"/>
      <c r="H125" s="73"/>
      <c r="I125" s="100">
        <v>14.2</v>
      </c>
      <c r="J125" s="73">
        <f>E125*I125</f>
        <v>14.2</v>
      </c>
      <c r="K125" s="73">
        <f>D125*J125</f>
        <v>42.599999999999994</v>
      </c>
      <c r="L125" s="82">
        <f>K125</f>
        <v>42.599999999999994</v>
      </c>
    </row>
    <row r="126" spans="1:12" s="9" customFormat="1" x14ac:dyDescent="0.25">
      <c r="A126" s="118">
        <v>115</v>
      </c>
      <c r="B126" s="45" t="s">
        <v>162</v>
      </c>
      <c r="C126" s="48" t="s">
        <v>44</v>
      </c>
      <c r="D126" s="46">
        <v>1</v>
      </c>
      <c r="E126" s="119">
        <v>1</v>
      </c>
      <c r="F126" s="153">
        <v>800</v>
      </c>
      <c r="G126" s="89">
        <v>1400</v>
      </c>
      <c r="H126" s="89">
        <f>D126*G126</f>
        <v>1400</v>
      </c>
      <c r="I126" s="153"/>
      <c r="J126" s="159"/>
      <c r="K126" s="159"/>
      <c r="L126" s="90">
        <f>H126</f>
        <v>1400</v>
      </c>
    </row>
    <row r="127" spans="1:12" s="44" customFormat="1" x14ac:dyDescent="0.25">
      <c r="A127" s="118">
        <v>116</v>
      </c>
      <c r="B127" s="41" t="s">
        <v>163</v>
      </c>
      <c r="C127" s="10" t="s">
        <v>44</v>
      </c>
      <c r="D127" s="8">
        <v>1</v>
      </c>
      <c r="E127" s="123">
        <v>1</v>
      </c>
      <c r="F127" s="100"/>
      <c r="G127" s="73"/>
      <c r="H127" s="73"/>
      <c r="I127" s="100">
        <v>1000</v>
      </c>
      <c r="J127" s="73">
        <f>E127*I127</f>
        <v>1000</v>
      </c>
      <c r="K127" s="73">
        <f>D127*J127</f>
        <v>1000</v>
      </c>
      <c r="L127" s="82">
        <f>K127</f>
        <v>1000</v>
      </c>
    </row>
    <row r="128" spans="1:12" s="9" customFormat="1" x14ac:dyDescent="0.25">
      <c r="A128" s="118">
        <v>117</v>
      </c>
      <c r="B128" s="45" t="s">
        <v>164</v>
      </c>
      <c r="C128" s="48" t="s">
        <v>76</v>
      </c>
      <c r="D128" s="46">
        <v>29.53</v>
      </c>
      <c r="E128" s="119">
        <v>1</v>
      </c>
      <c r="F128" s="153">
        <v>650</v>
      </c>
      <c r="G128" s="89">
        <f>E128*F128</f>
        <v>650</v>
      </c>
      <c r="H128" s="89">
        <f>D128*G128</f>
        <v>19194.5</v>
      </c>
      <c r="I128" s="153"/>
      <c r="J128" s="89"/>
      <c r="K128" s="89"/>
      <c r="L128" s="90">
        <f>H128</f>
        <v>19194.5</v>
      </c>
    </row>
    <row r="129" spans="1:12" s="44" customFormat="1" x14ac:dyDescent="0.25">
      <c r="A129" s="118">
        <v>118</v>
      </c>
      <c r="B129" s="41" t="s">
        <v>165</v>
      </c>
      <c r="C129" s="42" t="s">
        <v>76</v>
      </c>
      <c r="D129" s="43">
        <v>29.53</v>
      </c>
      <c r="E129" s="119">
        <v>1</v>
      </c>
      <c r="F129" s="100"/>
      <c r="G129" s="73"/>
      <c r="H129" s="73"/>
      <c r="I129" s="100">
        <v>687</v>
      </c>
      <c r="J129" s="73">
        <f>E129*I129</f>
        <v>687</v>
      </c>
      <c r="K129" s="73">
        <f>D129*J129</f>
        <v>20287.11</v>
      </c>
      <c r="L129" s="82">
        <f>K129</f>
        <v>20287.11</v>
      </c>
    </row>
    <row r="130" spans="1:12" s="44" customFormat="1" x14ac:dyDescent="0.25">
      <c r="A130" s="118">
        <v>119</v>
      </c>
      <c r="B130" s="74" t="s">
        <v>78</v>
      </c>
      <c r="C130" s="42"/>
      <c r="D130" s="43"/>
      <c r="E130" s="123"/>
      <c r="F130" s="100"/>
      <c r="G130" s="73"/>
      <c r="H130" s="73"/>
      <c r="I130" s="100"/>
      <c r="J130" s="73"/>
      <c r="K130" s="73"/>
      <c r="L130" s="82"/>
    </row>
    <row r="131" spans="1:12" s="9" customFormat="1" x14ac:dyDescent="0.25">
      <c r="A131" s="118">
        <v>120</v>
      </c>
      <c r="B131" s="45" t="s">
        <v>79</v>
      </c>
      <c r="C131" s="48" t="s">
        <v>73</v>
      </c>
      <c r="D131" s="46">
        <v>6</v>
      </c>
      <c r="E131" s="48">
        <v>1</v>
      </c>
      <c r="F131" s="89">
        <v>300</v>
      </c>
      <c r="G131" s="89">
        <f>D131*F131</f>
        <v>1800</v>
      </c>
      <c r="H131" s="89"/>
      <c r="I131" s="89"/>
      <c r="J131" s="90"/>
      <c r="K131" s="80"/>
      <c r="L131" s="162">
        <f>G131</f>
        <v>1800</v>
      </c>
    </row>
    <row r="132" spans="1:12" s="9" customFormat="1" x14ac:dyDescent="0.25">
      <c r="A132" s="118">
        <v>121</v>
      </c>
      <c r="B132" s="45" t="s">
        <v>80</v>
      </c>
      <c r="C132" s="48" t="s">
        <v>73</v>
      </c>
      <c r="D132" s="46">
        <v>6</v>
      </c>
      <c r="E132" s="48">
        <v>1</v>
      </c>
      <c r="F132" s="89">
        <v>300</v>
      </c>
      <c r="G132" s="89">
        <f>D132*F132</f>
        <v>1800</v>
      </c>
      <c r="H132" s="89"/>
      <c r="I132" s="89"/>
      <c r="J132" s="90"/>
      <c r="K132" s="80"/>
      <c r="L132" s="162">
        <f>G132</f>
        <v>1800</v>
      </c>
    </row>
    <row r="133" spans="1:12" s="44" customFormat="1" x14ac:dyDescent="0.25">
      <c r="A133" s="118">
        <v>122</v>
      </c>
      <c r="B133" s="75" t="s">
        <v>166</v>
      </c>
      <c r="C133" s="76" t="s">
        <v>73</v>
      </c>
      <c r="D133" s="76">
        <v>7</v>
      </c>
      <c r="E133" s="10">
        <v>1</v>
      </c>
      <c r="F133" s="73"/>
      <c r="G133" s="73"/>
      <c r="H133" s="73">
        <v>85</v>
      </c>
      <c r="I133" s="73">
        <f>D133*H133</f>
        <v>595</v>
      </c>
      <c r="J133" s="82">
        <f>I133</f>
        <v>595</v>
      </c>
      <c r="K133" s="47"/>
      <c r="L133" s="163">
        <f>J133</f>
        <v>595</v>
      </c>
    </row>
    <row r="134" spans="1:12" s="44" customFormat="1" x14ac:dyDescent="0.25">
      <c r="A134" s="118">
        <v>123</v>
      </c>
      <c r="B134" s="77" t="s">
        <v>81</v>
      </c>
      <c r="C134" s="76" t="s">
        <v>44</v>
      </c>
      <c r="D134" s="78">
        <v>6</v>
      </c>
      <c r="E134" s="10">
        <v>1</v>
      </c>
      <c r="F134" s="73"/>
      <c r="G134" s="73"/>
      <c r="H134" s="73">
        <v>50</v>
      </c>
      <c r="I134" s="73">
        <f t="shared" ref="I134:I140" si="13">D134*H134</f>
        <v>300</v>
      </c>
      <c r="J134" s="82">
        <f t="shared" ref="J134:J140" si="14">I134</f>
        <v>300</v>
      </c>
      <c r="K134" s="47"/>
      <c r="L134" s="163">
        <f t="shared" ref="L134:L150" si="15">J134</f>
        <v>300</v>
      </c>
    </row>
    <row r="135" spans="1:12" x14ac:dyDescent="0.25">
      <c r="A135" s="118">
        <v>124</v>
      </c>
      <c r="B135" s="79" t="s">
        <v>74</v>
      </c>
      <c r="C135" s="76" t="s">
        <v>44</v>
      </c>
      <c r="D135" s="78">
        <v>4</v>
      </c>
      <c r="E135" s="10">
        <v>1</v>
      </c>
      <c r="F135" s="25"/>
      <c r="G135" s="25"/>
      <c r="H135" s="25">
        <v>45</v>
      </c>
      <c r="I135" s="73">
        <f t="shared" si="13"/>
        <v>180</v>
      </c>
      <c r="J135" s="82">
        <f t="shared" si="14"/>
        <v>180</v>
      </c>
      <c r="K135" s="6"/>
      <c r="L135" s="163">
        <f t="shared" si="15"/>
        <v>180</v>
      </c>
    </row>
    <row r="136" spans="1:12" s="44" customFormat="1" x14ac:dyDescent="0.25">
      <c r="A136" s="118">
        <v>125</v>
      </c>
      <c r="B136" s="79" t="s">
        <v>82</v>
      </c>
      <c r="C136" s="76" t="s">
        <v>44</v>
      </c>
      <c r="D136" s="78">
        <v>4</v>
      </c>
      <c r="E136" s="10">
        <v>1</v>
      </c>
      <c r="F136" s="73"/>
      <c r="G136" s="73"/>
      <c r="H136" s="73">
        <v>65</v>
      </c>
      <c r="I136" s="73">
        <f t="shared" si="13"/>
        <v>260</v>
      </c>
      <c r="J136" s="82">
        <f t="shared" si="14"/>
        <v>260</v>
      </c>
      <c r="K136" s="47"/>
      <c r="L136" s="163">
        <f t="shared" si="15"/>
        <v>260</v>
      </c>
    </row>
    <row r="137" spans="1:12" s="67" customFormat="1" x14ac:dyDescent="0.25">
      <c r="A137" s="118">
        <v>126</v>
      </c>
      <c r="B137" s="75" t="s">
        <v>168</v>
      </c>
      <c r="C137" s="76" t="s">
        <v>44</v>
      </c>
      <c r="D137" s="76">
        <v>3</v>
      </c>
      <c r="E137" s="10">
        <v>1</v>
      </c>
      <c r="F137" s="73"/>
      <c r="G137" s="73"/>
      <c r="H137" s="73">
        <v>350</v>
      </c>
      <c r="I137" s="73">
        <f t="shared" si="13"/>
        <v>1050</v>
      </c>
      <c r="J137" s="82">
        <f t="shared" si="14"/>
        <v>1050</v>
      </c>
      <c r="K137" s="42"/>
      <c r="L137" s="163">
        <f t="shared" si="15"/>
        <v>1050</v>
      </c>
    </row>
    <row r="138" spans="1:12" s="44" customFormat="1" x14ac:dyDescent="0.25">
      <c r="A138" s="118">
        <v>127</v>
      </c>
      <c r="B138" s="75" t="s">
        <v>167</v>
      </c>
      <c r="C138" s="76" t="s">
        <v>44</v>
      </c>
      <c r="D138" s="76">
        <v>2</v>
      </c>
      <c r="E138" s="10">
        <v>1</v>
      </c>
      <c r="F138" s="73"/>
      <c r="G138" s="73"/>
      <c r="H138" s="73">
        <v>650</v>
      </c>
      <c r="I138" s="73">
        <f t="shared" si="13"/>
        <v>1300</v>
      </c>
      <c r="J138" s="82">
        <f t="shared" si="14"/>
        <v>1300</v>
      </c>
      <c r="K138" s="47"/>
      <c r="L138" s="163">
        <f t="shared" si="15"/>
        <v>1300</v>
      </c>
    </row>
    <row r="139" spans="1:12" s="44" customFormat="1" x14ac:dyDescent="0.25">
      <c r="A139" s="118">
        <v>128</v>
      </c>
      <c r="B139" s="79" t="s">
        <v>83</v>
      </c>
      <c r="C139" s="76" t="s">
        <v>44</v>
      </c>
      <c r="D139" s="78">
        <v>13</v>
      </c>
      <c r="E139" s="10">
        <v>1</v>
      </c>
      <c r="F139" s="73"/>
      <c r="G139" s="73"/>
      <c r="H139" s="73">
        <v>27</v>
      </c>
      <c r="I139" s="73">
        <f t="shared" si="13"/>
        <v>351</v>
      </c>
      <c r="J139" s="82">
        <f t="shared" si="14"/>
        <v>351</v>
      </c>
      <c r="K139" s="47"/>
      <c r="L139" s="163">
        <f t="shared" si="15"/>
        <v>351</v>
      </c>
    </row>
    <row r="140" spans="1:12" s="44" customFormat="1" x14ac:dyDescent="0.25">
      <c r="A140" s="118">
        <v>129</v>
      </c>
      <c r="B140" s="79" t="s">
        <v>77</v>
      </c>
      <c r="C140" s="76" t="s">
        <v>44</v>
      </c>
      <c r="D140" s="78">
        <v>90</v>
      </c>
      <c r="E140" s="10">
        <v>1</v>
      </c>
      <c r="F140" s="73"/>
      <c r="G140" s="73"/>
      <c r="H140" s="73">
        <v>8</v>
      </c>
      <c r="I140" s="73">
        <f t="shared" si="13"/>
        <v>720</v>
      </c>
      <c r="J140" s="82">
        <f t="shared" si="14"/>
        <v>720</v>
      </c>
      <c r="K140" s="47"/>
      <c r="L140" s="163">
        <f t="shared" si="15"/>
        <v>720</v>
      </c>
    </row>
    <row r="141" spans="1:12" s="44" customFormat="1" x14ac:dyDescent="0.25">
      <c r="A141" s="118">
        <v>130</v>
      </c>
      <c r="B141" s="41" t="s">
        <v>93</v>
      </c>
      <c r="C141" s="78" t="s">
        <v>44</v>
      </c>
      <c r="D141" s="43">
        <v>5</v>
      </c>
      <c r="E141" s="10">
        <v>1</v>
      </c>
      <c r="F141" s="73"/>
      <c r="G141" s="73"/>
      <c r="H141" s="73">
        <v>180</v>
      </c>
      <c r="I141" s="73">
        <f>D141*H141</f>
        <v>900</v>
      </c>
      <c r="J141" s="82">
        <f>I141</f>
        <v>900</v>
      </c>
      <c r="K141" s="47"/>
      <c r="L141" s="163">
        <f t="shared" si="15"/>
        <v>900</v>
      </c>
    </row>
    <row r="142" spans="1:12" s="9" customFormat="1" x14ac:dyDescent="0.25">
      <c r="A142" s="118">
        <v>131</v>
      </c>
      <c r="B142" s="45" t="s">
        <v>84</v>
      </c>
      <c r="C142" s="48" t="s">
        <v>73</v>
      </c>
      <c r="D142" s="80">
        <v>3</v>
      </c>
      <c r="E142" s="48">
        <v>1</v>
      </c>
      <c r="F142" s="46">
        <v>200</v>
      </c>
      <c r="G142" s="89">
        <f>D142*F142</f>
        <v>600</v>
      </c>
      <c r="H142" s="89"/>
      <c r="I142" s="89"/>
      <c r="J142" s="90"/>
      <c r="K142" s="80"/>
      <c r="L142" s="162">
        <f>G142</f>
        <v>600</v>
      </c>
    </row>
    <row r="143" spans="1:12" s="44" customFormat="1" x14ac:dyDescent="0.25">
      <c r="A143" s="118">
        <v>132</v>
      </c>
      <c r="B143" s="75" t="s">
        <v>85</v>
      </c>
      <c r="C143" s="81" t="s">
        <v>3</v>
      </c>
      <c r="D143" s="81">
        <v>2</v>
      </c>
      <c r="E143" s="10">
        <v>1</v>
      </c>
      <c r="F143" s="73"/>
      <c r="G143" s="73"/>
      <c r="H143" s="73">
        <v>50</v>
      </c>
      <c r="I143" s="73">
        <f t="shared" ref="I143:I150" si="16">D143*H143</f>
        <v>100</v>
      </c>
      <c r="J143" s="82">
        <f t="shared" ref="J143:J150" si="17">I143</f>
        <v>100</v>
      </c>
      <c r="K143" s="47"/>
      <c r="L143" s="163">
        <f t="shared" si="15"/>
        <v>100</v>
      </c>
    </row>
    <row r="144" spans="1:12" s="44" customFormat="1" x14ac:dyDescent="0.25">
      <c r="A144" s="118">
        <v>133</v>
      </c>
      <c r="B144" s="75" t="s">
        <v>86</v>
      </c>
      <c r="C144" s="81" t="s">
        <v>3</v>
      </c>
      <c r="D144" s="81">
        <v>2</v>
      </c>
      <c r="E144" s="10">
        <v>1</v>
      </c>
      <c r="F144" s="73"/>
      <c r="G144" s="73"/>
      <c r="H144" s="73">
        <v>35</v>
      </c>
      <c r="I144" s="73">
        <f t="shared" si="16"/>
        <v>70</v>
      </c>
      <c r="J144" s="82">
        <f t="shared" si="17"/>
        <v>70</v>
      </c>
      <c r="K144" s="47"/>
      <c r="L144" s="163">
        <f t="shared" si="15"/>
        <v>70</v>
      </c>
    </row>
    <row r="145" spans="1:12" s="44" customFormat="1" x14ac:dyDescent="0.25">
      <c r="A145" s="118">
        <v>134</v>
      </c>
      <c r="B145" s="75" t="s">
        <v>87</v>
      </c>
      <c r="C145" s="81" t="s">
        <v>3</v>
      </c>
      <c r="D145" s="81">
        <v>1</v>
      </c>
      <c r="E145" s="10">
        <v>1</v>
      </c>
      <c r="F145" s="73"/>
      <c r="G145" s="73"/>
      <c r="H145" s="73">
        <v>28</v>
      </c>
      <c r="I145" s="73">
        <f t="shared" si="16"/>
        <v>28</v>
      </c>
      <c r="J145" s="82">
        <f t="shared" si="17"/>
        <v>28</v>
      </c>
      <c r="K145" s="47"/>
      <c r="L145" s="163">
        <f t="shared" si="15"/>
        <v>28</v>
      </c>
    </row>
    <row r="146" spans="1:12" s="44" customFormat="1" x14ac:dyDescent="0.25">
      <c r="A146" s="118">
        <v>135</v>
      </c>
      <c r="B146" s="75" t="s">
        <v>88</v>
      </c>
      <c r="C146" s="81" t="s">
        <v>3</v>
      </c>
      <c r="D146" s="76">
        <v>3</v>
      </c>
      <c r="E146" s="10">
        <v>1</v>
      </c>
      <c r="F146" s="73"/>
      <c r="G146" s="73"/>
      <c r="H146" s="73">
        <v>17</v>
      </c>
      <c r="I146" s="73">
        <f t="shared" si="16"/>
        <v>51</v>
      </c>
      <c r="J146" s="82">
        <f t="shared" si="17"/>
        <v>51</v>
      </c>
      <c r="K146" s="47"/>
      <c r="L146" s="163">
        <f t="shared" si="15"/>
        <v>51</v>
      </c>
    </row>
    <row r="147" spans="1:12" s="44" customFormat="1" x14ac:dyDescent="0.25">
      <c r="A147" s="118">
        <v>136</v>
      </c>
      <c r="B147" s="75" t="s">
        <v>89</v>
      </c>
      <c r="C147" s="81" t="s">
        <v>3</v>
      </c>
      <c r="D147" s="76">
        <v>2</v>
      </c>
      <c r="E147" s="10">
        <v>1</v>
      </c>
      <c r="F147" s="73"/>
      <c r="G147" s="73"/>
      <c r="H147" s="73">
        <v>15</v>
      </c>
      <c r="I147" s="73">
        <f t="shared" si="16"/>
        <v>30</v>
      </c>
      <c r="J147" s="82">
        <f t="shared" si="17"/>
        <v>30</v>
      </c>
      <c r="K147" s="47"/>
      <c r="L147" s="163">
        <f t="shared" si="15"/>
        <v>30</v>
      </c>
    </row>
    <row r="148" spans="1:12" s="44" customFormat="1" x14ac:dyDescent="0.25">
      <c r="A148" s="118">
        <v>137</v>
      </c>
      <c r="B148" s="75" t="s">
        <v>90</v>
      </c>
      <c r="C148" s="81" t="s">
        <v>3</v>
      </c>
      <c r="D148" s="76">
        <v>1</v>
      </c>
      <c r="E148" s="10">
        <v>1</v>
      </c>
      <c r="F148" s="73"/>
      <c r="G148" s="73"/>
      <c r="H148" s="73">
        <v>52</v>
      </c>
      <c r="I148" s="73">
        <f t="shared" si="16"/>
        <v>52</v>
      </c>
      <c r="J148" s="82">
        <f t="shared" si="17"/>
        <v>52</v>
      </c>
      <c r="K148" s="47"/>
      <c r="L148" s="163">
        <f t="shared" si="15"/>
        <v>52</v>
      </c>
    </row>
    <row r="149" spans="1:12" s="44" customFormat="1" x14ac:dyDescent="0.25">
      <c r="A149" s="118">
        <v>138</v>
      </c>
      <c r="B149" s="75" t="s">
        <v>91</v>
      </c>
      <c r="C149" s="81" t="s">
        <v>3</v>
      </c>
      <c r="D149" s="76">
        <v>5</v>
      </c>
      <c r="E149" s="10">
        <v>1</v>
      </c>
      <c r="F149" s="73"/>
      <c r="G149" s="73"/>
      <c r="H149" s="73">
        <v>9</v>
      </c>
      <c r="I149" s="73">
        <f t="shared" si="16"/>
        <v>45</v>
      </c>
      <c r="J149" s="82">
        <f t="shared" si="17"/>
        <v>45</v>
      </c>
      <c r="K149" s="47"/>
      <c r="L149" s="163">
        <f t="shared" si="15"/>
        <v>45</v>
      </c>
    </row>
    <row r="150" spans="1:12" s="44" customFormat="1" x14ac:dyDescent="0.25">
      <c r="A150" s="118">
        <v>139</v>
      </c>
      <c r="B150" s="75" t="s">
        <v>92</v>
      </c>
      <c r="C150" s="81" t="s">
        <v>3</v>
      </c>
      <c r="D150" s="76">
        <v>10</v>
      </c>
      <c r="E150" s="10">
        <v>1</v>
      </c>
      <c r="F150" s="73"/>
      <c r="G150" s="73"/>
      <c r="H150" s="73">
        <v>45</v>
      </c>
      <c r="I150" s="73">
        <f t="shared" si="16"/>
        <v>450</v>
      </c>
      <c r="J150" s="82">
        <f t="shared" si="17"/>
        <v>450</v>
      </c>
      <c r="K150" s="47"/>
      <c r="L150" s="163">
        <f t="shared" si="15"/>
        <v>450</v>
      </c>
    </row>
    <row r="151" spans="1:12" s="44" customFormat="1" x14ac:dyDescent="0.25">
      <c r="A151" s="118">
        <v>140</v>
      </c>
      <c r="B151" s="41"/>
      <c r="C151" s="42"/>
      <c r="D151" s="43"/>
      <c r="E151" s="43"/>
      <c r="F151" s="100"/>
      <c r="G151" s="73"/>
      <c r="H151" s="73"/>
      <c r="I151" s="100"/>
      <c r="J151" s="73"/>
      <c r="K151" s="73"/>
      <c r="L151" s="82"/>
    </row>
    <row r="152" spans="1:12" x14ac:dyDescent="0.25">
      <c r="A152" s="118">
        <v>141</v>
      </c>
      <c r="B152" s="71" t="s">
        <v>65</v>
      </c>
      <c r="C152" s="6"/>
      <c r="D152" s="8"/>
      <c r="E152" s="8"/>
      <c r="F152" s="101"/>
      <c r="G152" s="25"/>
      <c r="H152" s="25"/>
      <c r="I152" s="101"/>
      <c r="J152" s="25"/>
      <c r="K152" s="25"/>
      <c r="L152" s="88"/>
    </row>
    <row r="153" spans="1:12" s="4" customFormat="1" x14ac:dyDescent="0.2">
      <c r="A153" s="118">
        <v>142</v>
      </c>
      <c r="B153" s="50" t="s">
        <v>7</v>
      </c>
      <c r="C153" s="10" t="s">
        <v>4</v>
      </c>
      <c r="D153" s="8">
        <v>1</v>
      </c>
      <c r="E153" s="8"/>
      <c r="F153" s="101"/>
      <c r="G153" s="34">
        <v>4000</v>
      </c>
      <c r="H153" s="34">
        <f>D153*G153</f>
        <v>4000</v>
      </c>
      <c r="I153" s="168"/>
      <c r="J153" s="34"/>
      <c r="K153" s="34"/>
      <c r="L153" s="91">
        <f>H153</f>
        <v>4000</v>
      </c>
    </row>
    <row r="154" spans="1:12" s="4" customFormat="1" x14ac:dyDescent="0.2">
      <c r="A154" s="118">
        <v>143</v>
      </c>
      <c r="B154" s="50" t="s">
        <v>68</v>
      </c>
      <c r="C154" s="10" t="s">
        <v>4</v>
      </c>
      <c r="D154" s="8">
        <v>1</v>
      </c>
      <c r="E154" s="8"/>
      <c r="F154" s="101"/>
      <c r="G154" s="34">
        <v>7500</v>
      </c>
      <c r="H154" s="34">
        <f>7500</f>
        <v>7500</v>
      </c>
      <c r="I154" s="168"/>
      <c r="J154" s="34"/>
      <c r="K154" s="34"/>
      <c r="L154" s="91"/>
    </row>
    <row r="155" spans="1:12" s="4" customFormat="1" x14ac:dyDescent="0.2">
      <c r="A155" s="118">
        <v>144</v>
      </c>
      <c r="B155" s="51" t="s">
        <v>12</v>
      </c>
      <c r="C155" s="23" t="s">
        <v>11</v>
      </c>
      <c r="D155" s="24">
        <v>5</v>
      </c>
      <c r="E155" s="24"/>
      <c r="F155" s="102"/>
      <c r="G155" s="35">
        <v>1500</v>
      </c>
      <c r="H155" s="35">
        <f>D155*G155</f>
        <v>7500</v>
      </c>
      <c r="I155" s="102"/>
      <c r="J155" s="35"/>
      <c r="K155" s="35"/>
      <c r="L155" s="92">
        <f>H155</f>
        <v>7500</v>
      </c>
    </row>
    <row r="156" spans="1:12" s="26" customFormat="1" hidden="1" x14ac:dyDescent="0.2">
      <c r="A156" s="118">
        <v>145</v>
      </c>
      <c r="B156" s="52" t="s">
        <v>5</v>
      </c>
      <c r="C156" s="27" t="s">
        <v>6</v>
      </c>
      <c r="D156" s="25">
        <v>0</v>
      </c>
      <c r="E156" s="25"/>
      <c r="F156" s="101"/>
      <c r="G156" s="25">
        <v>800</v>
      </c>
      <c r="H156" s="25">
        <f>G156*D156</f>
        <v>0</v>
      </c>
      <c r="I156" s="101"/>
      <c r="J156" s="25"/>
      <c r="K156" s="25"/>
      <c r="L156" s="93">
        <f>D156*G156</f>
        <v>0</v>
      </c>
    </row>
    <row r="157" spans="1:12" s="44" customFormat="1" hidden="1" x14ac:dyDescent="0.25">
      <c r="A157" s="118">
        <v>146</v>
      </c>
      <c r="B157" s="45" t="s">
        <v>36</v>
      </c>
      <c r="C157" s="42"/>
      <c r="D157" s="43">
        <v>1.25</v>
      </c>
      <c r="E157" s="43"/>
      <c r="F157" s="100"/>
      <c r="G157" s="73"/>
      <c r="H157" s="73"/>
      <c r="I157" s="100"/>
      <c r="J157" s="73"/>
      <c r="K157" s="73"/>
      <c r="L157" s="82"/>
    </row>
    <row r="158" spans="1:12" s="44" customFormat="1" x14ac:dyDescent="0.25">
      <c r="A158" s="118">
        <v>147</v>
      </c>
      <c r="B158" s="45" t="s">
        <v>33</v>
      </c>
      <c r="C158" s="42"/>
      <c r="D158" s="43"/>
      <c r="E158" s="43"/>
      <c r="F158" s="100"/>
      <c r="G158" s="94"/>
      <c r="H158" s="95">
        <f>SUM(H26:H157)</f>
        <v>325247.27</v>
      </c>
      <c r="I158" s="169"/>
      <c r="J158" s="95"/>
      <c r="K158" s="95">
        <f>SUM(K26:K157)</f>
        <v>305398.39412133332</v>
      </c>
      <c r="L158" s="96">
        <f>H158+K158</f>
        <v>630645.66412133328</v>
      </c>
    </row>
    <row r="159" spans="1:12" s="44" customFormat="1" x14ac:dyDescent="0.25">
      <c r="A159" s="118">
        <v>148</v>
      </c>
      <c r="B159" s="45" t="s">
        <v>37</v>
      </c>
      <c r="C159" s="48" t="s">
        <v>34</v>
      </c>
      <c r="D159" s="46">
        <v>10</v>
      </c>
      <c r="E159" s="46"/>
      <c r="F159" s="153"/>
      <c r="G159" s="95"/>
      <c r="H159" s="95"/>
      <c r="I159" s="169"/>
      <c r="J159" s="95"/>
      <c r="K159" s="95">
        <f>K158/100*D159</f>
        <v>30539.839412133333</v>
      </c>
      <c r="L159" s="96"/>
    </row>
    <row r="160" spans="1:12" s="44" customFormat="1" ht="25.5" x14ac:dyDescent="0.25">
      <c r="A160" s="118">
        <v>149</v>
      </c>
      <c r="B160" s="45" t="s">
        <v>75</v>
      </c>
      <c r="C160" s="48" t="s">
        <v>34</v>
      </c>
      <c r="D160" s="46">
        <v>5</v>
      </c>
      <c r="E160" s="46"/>
      <c r="F160" s="153"/>
      <c r="G160" s="95"/>
      <c r="H160" s="95">
        <f>H158*D160/100</f>
        <v>16262.363500000001</v>
      </c>
      <c r="I160" s="169"/>
      <c r="J160" s="95"/>
      <c r="K160" s="95"/>
      <c r="L160" s="96"/>
    </row>
    <row r="161" spans="1:12" s="44" customFormat="1" ht="25.5" hidden="1" x14ac:dyDescent="0.25">
      <c r="A161" s="118">
        <v>150</v>
      </c>
      <c r="B161" s="45" t="s">
        <v>67</v>
      </c>
      <c r="C161" s="48" t="s">
        <v>34</v>
      </c>
      <c r="D161" s="46">
        <v>0</v>
      </c>
      <c r="E161" s="46"/>
      <c r="F161" s="153"/>
      <c r="G161" s="95"/>
      <c r="H161" s="95">
        <f>H158/100*D161</f>
        <v>0</v>
      </c>
      <c r="I161" s="169"/>
      <c r="J161" s="95"/>
      <c r="K161" s="95">
        <f>K158/100*D161</f>
        <v>0</v>
      </c>
      <c r="L161" s="96"/>
    </row>
    <row r="162" spans="1:12" s="44" customFormat="1" x14ac:dyDescent="0.25">
      <c r="A162" s="118">
        <v>151</v>
      </c>
      <c r="B162" s="45" t="s">
        <v>35</v>
      </c>
      <c r="C162" s="97"/>
      <c r="D162" s="97"/>
      <c r="E162" s="97"/>
      <c r="F162" s="169"/>
      <c r="G162" s="95"/>
      <c r="H162" s="95">
        <f>SUM(H158:H161)</f>
        <v>341509.6335</v>
      </c>
      <c r="I162" s="169"/>
      <c r="J162" s="95"/>
      <c r="K162" s="95">
        <f>SUM(K158:K161)</f>
        <v>335938.23353346664</v>
      </c>
      <c r="L162" s="96">
        <f>H162+K162</f>
        <v>677447.8670334667</v>
      </c>
    </row>
    <row r="163" spans="1:12" s="44" customFormat="1" ht="29.25" hidden="1" customHeight="1" x14ac:dyDescent="0.25">
      <c r="A163" s="62"/>
      <c r="B163" s="63"/>
      <c r="C163" s="64"/>
      <c r="D163" s="64"/>
      <c r="E163" s="72"/>
      <c r="F163" s="103"/>
      <c r="G163" s="65"/>
      <c r="H163" s="65"/>
      <c r="I163" s="103"/>
      <c r="J163" s="65"/>
      <c r="K163" s="65"/>
      <c r="L163" s="66"/>
    </row>
    <row r="164" spans="1:12" s="4" customFormat="1" x14ac:dyDescent="0.2">
      <c r="A164" s="54"/>
      <c r="B164" s="28" t="s">
        <v>169</v>
      </c>
      <c r="C164" s="13"/>
      <c r="D164" s="14"/>
      <c r="E164" s="14"/>
      <c r="F164" s="104"/>
      <c r="G164" s="36"/>
      <c r="H164" s="36"/>
      <c r="I164" s="110"/>
      <c r="J164" s="36"/>
      <c r="K164" s="36"/>
      <c r="L164" s="7"/>
    </row>
    <row r="165" spans="1:12" s="4" customFormat="1" x14ac:dyDescent="0.2">
      <c r="A165" s="54"/>
      <c r="B165" s="28"/>
      <c r="C165" s="13"/>
      <c r="D165" s="14"/>
      <c r="E165" s="14"/>
      <c r="F165" s="104"/>
      <c r="G165" s="36"/>
      <c r="H165" s="36"/>
      <c r="I165" s="110"/>
      <c r="J165" s="36"/>
      <c r="K165" s="36"/>
      <c r="L165" s="7"/>
    </row>
    <row r="166" spans="1:12" s="17" customFormat="1" x14ac:dyDescent="0.2">
      <c r="A166" s="53"/>
      <c r="B166" s="29"/>
      <c r="C166" s="15"/>
      <c r="D166" s="16"/>
      <c r="E166" s="16"/>
      <c r="F166" s="105"/>
      <c r="G166" s="37"/>
      <c r="H166" s="37"/>
      <c r="I166" s="111"/>
      <c r="J166" s="37"/>
      <c r="K166" s="37"/>
      <c r="L166" s="7"/>
    </row>
    <row r="167" spans="1:12" s="17" customFormat="1" ht="15" x14ac:dyDescent="0.25">
      <c r="A167" s="53"/>
      <c r="B167" s="30" t="s">
        <v>8</v>
      </c>
      <c r="C167" s="18"/>
      <c r="D167" s="56" t="s">
        <v>9</v>
      </c>
      <c r="E167" s="56"/>
      <c r="F167" s="106"/>
      <c r="G167"/>
      <c r="H167"/>
      <c r="I167" s="112"/>
      <c r="J167"/>
      <c r="K167"/>
      <c r="L167"/>
    </row>
    <row r="168" spans="1:12" s="17" customFormat="1" ht="13.5" thickBot="1" x14ac:dyDescent="0.25">
      <c r="A168" s="53"/>
      <c r="B168" s="31"/>
      <c r="C168" s="18"/>
      <c r="D168" s="20"/>
      <c r="E168" s="20"/>
      <c r="F168" s="107"/>
      <c r="G168" s="38"/>
      <c r="H168" s="38"/>
      <c r="I168" s="113"/>
      <c r="J168" s="38"/>
      <c r="K168" s="38"/>
      <c r="L168" s="21"/>
    </row>
    <row r="169" spans="1:12" s="17" customFormat="1" x14ac:dyDescent="0.2">
      <c r="A169" s="53"/>
      <c r="B169" s="32"/>
      <c r="C169" s="18"/>
      <c r="D169" s="22"/>
      <c r="E169" s="22"/>
      <c r="F169" s="108"/>
      <c r="G169" s="39"/>
      <c r="H169" s="39"/>
      <c r="I169" s="114"/>
      <c r="J169" s="39"/>
      <c r="K169" s="39"/>
      <c r="L169" s="19"/>
    </row>
    <row r="174" spans="1:12" ht="15" customHeight="1" x14ac:dyDescent="0.25"/>
    <row r="175" spans="1:12" ht="15" customHeight="1" x14ac:dyDescent="0.25"/>
    <row r="176" spans="1:1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</sheetData>
  <mergeCells count="4">
    <mergeCell ref="A9:L9"/>
    <mergeCell ref="A8:L8"/>
    <mergeCell ref="B1:D1"/>
    <mergeCell ref="B2:D2"/>
  </mergeCells>
  <pageMargins left="0.82677165354330717" right="0.23622047244094491" top="0.74803149606299213" bottom="0.74803149606299213" header="0.31496062992125984" footer="0.31496062992125984"/>
  <pageSetup paperSize="9" scale="58" orientation="portrait" r:id="rId1"/>
  <headerFooter alignWithMargins="0"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9"/>
  <sheetViews>
    <sheetView tabSelected="1" workbookViewId="0">
      <selection activeCell="N9" sqref="N9"/>
    </sheetView>
  </sheetViews>
  <sheetFormatPr defaultRowHeight="15" x14ac:dyDescent="0.25"/>
  <cols>
    <col min="1" max="1" width="6.85546875" style="283" customWidth="1"/>
    <col min="2" max="2" width="65" style="283" customWidth="1"/>
    <col min="3" max="3" width="8.140625" style="283" customWidth="1"/>
    <col min="4" max="4" width="11" style="283" customWidth="1"/>
    <col min="5" max="5" width="10.28515625" style="283" hidden="1" customWidth="1"/>
    <col min="6" max="6" width="14.85546875" style="307" customWidth="1"/>
    <col min="7" max="7" width="16.85546875" style="307" customWidth="1"/>
    <col min="8" max="8" width="17" style="308" customWidth="1"/>
    <col min="9" max="9" width="16" style="308" customWidth="1"/>
    <col min="10" max="10" width="16.140625" style="308" customWidth="1"/>
    <col min="11" max="11" width="3.5703125" style="283" customWidth="1"/>
    <col min="12" max="16384" width="9.140625" style="283"/>
  </cols>
  <sheetData>
    <row r="1" spans="1:11" s="26" customFormat="1" ht="12.75" x14ac:dyDescent="0.25">
      <c r="A1" s="280"/>
      <c r="D1" s="40"/>
      <c r="E1" s="40"/>
      <c r="F1" s="252"/>
      <c r="G1" s="252"/>
      <c r="H1" s="252" t="s">
        <v>474</v>
      </c>
      <c r="I1" s="252"/>
      <c r="J1" s="252"/>
    </row>
    <row r="2" spans="1:11" s="26" customFormat="1" x14ac:dyDescent="0.25">
      <c r="A2" s="281"/>
      <c r="B2" s="271"/>
      <c r="C2" s="271"/>
      <c r="D2" s="271"/>
      <c r="E2" s="40"/>
      <c r="F2" s="252"/>
      <c r="G2" s="252"/>
      <c r="H2" s="252"/>
      <c r="I2" s="252"/>
      <c r="J2" s="252"/>
    </row>
    <row r="3" spans="1:11" s="26" customFormat="1" ht="12.75" x14ac:dyDescent="0.25">
      <c r="A3" s="280"/>
      <c r="B3" s="60" t="s">
        <v>39</v>
      </c>
      <c r="D3" s="40"/>
      <c r="E3" s="40"/>
      <c r="F3" s="252"/>
      <c r="G3" s="198" t="s">
        <v>40</v>
      </c>
      <c r="H3" s="252"/>
      <c r="I3" s="252"/>
      <c r="J3" s="252"/>
    </row>
    <row r="4" spans="1:11" s="26" customFormat="1" ht="12.75" x14ac:dyDescent="0.25">
      <c r="A4" s="280"/>
      <c r="B4" s="57"/>
      <c r="D4" s="40"/>
      <c r="E4" s="40"/>
      <c r="F4" s="252"/>
      <c r="G4" s="253"/>
      <c r="H4" s="253"/>
      <c r="I4" s="253"/>
      <c r="J4" s="252"/>
    </row>
    <row r="5" spans="1:11" s="26" customFormat="1" ht="12.75" x14ac:dyDescent="0.25">
      <c r="A5" s="280"/>
      <c r="B5" s="68"/>
      <c r="D5" s="40"/>
      <c r="E5" s="40"/>
      <c r="F5" s="252"/>
      <c r="G5" s="254"/>
      <c r="H5" s="254"/>
      <c r="I5" s="254"/>
      <c r="J5" s="252"/>
    </row>
    <row r="6" spans="1:11" s="26" customFormat="1" ht="12.75" x14ac:dyDescent="0.25">
      <c r="A6" s="280"/>
      <c r="D6" s="40"/>
      <c r="E6" s="40"/>
      <c r="F6" s="252"/>
      <c r="G6" s="252"/>
      <c r="H6" s="252"/>
      <c r="I6" s="252"/>
      <c r="J6" s="252"/>
    </row>
    <row r="7" spans="1:11" ht="20.25" x14ac:dyDescent="0.25">
      <c r="A7" s="282" t="s">
        <v>38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1" ht="30.75" customHeight="1" x14ac:dyDescent="0.25">
      <c r="A8" s="272" t="s">
        <v>512</v>
      </c>
      <c r="B8" s="272"/>
      <c r="C8" s="272"/>
      <c r="D8" s="272"/>
      <c r="E8" s="272"/>
      <c r="F8" s="272"/>
      <c r="G8" s="272"/>
      <c r="H8" s="272"/>
      <c r="I8" s="272"/>
      <c r="J8" s="272"/>
    </row>
    <row r="9" spans="1:11" ht="24" customHeight="1" x14ac:dyDescent="0.25">
      <c r="A9" s="284"/>
      <c r="C9" s="248"/>
      <c r="D9" s="256"/>
      <c r="E9" s="256"/>
      <c r="F9" s="248"/>
      <c r="G9" s="248"/>
      <c r="H9" s="256"/>
      <c r="I9" s="256"/>
      <c r="J9" s="256"/>
    </row>
    <row r="10" spans="1:11" ht="90" x14ac:dyDescent="0.25">
      <c r="A10" s="269" t="s">
        <v>0</v>
      </c>
      <c r="B10" s="84" t="s">
        <v>1</v>
      </c>
      <c r="C10" s="270" t="s">
        <v>10</v>
      </c>
      <c r="D10" s="270" t="s">
        <v>2</v>
      </c>
      <c r="E10" s="270" t="s">
        <v>344</v>
      </c>
      <c r="F10" s="84" t="s">
        <v>345</v>
      </c>
      <c r="G10" s="84" t="s">
        <v>346</v>
      </c>
      <c r="H10" s="84" t="s">
        <v>347</v>
      </c>
      <c r="I10" s="84" t="s">
        <v>348</v>
      </c>
      <c r="J10" s="84" t="s">
        <v>349</v>
      </c>
      <c r="K10" s="285"/>
    </row>
    <row r="11" spans="1:11" x14ac:dyDescent="0.25">
      <c r="A11" s="269">
        <v>1</v>
      </c>
      <c r="B11" s="260" t="s">
        <v>417</v>
      </c>
      <c r="C11" s="270" t="s">
        <v>371</v>
      </c>
      <c r="D11" s="84">
        <v>9.4</v>
      </c>
      <c r="E11" s="270"/>
      <c r="F11" s="84"/>
      <c r="G11" s="84"/>
      <c r="H11" s="84">
        <f>D11*F11</f>
        <v>0</v>
      </c>
      <c r="I11" s="84"/>
      <c r="J11" s="84">
        <f>H11</f>
        <v>0</v>
      </c>
      <c r="K11" s="285"/>
    </row>
    <row r="12" spans="1:11" s="287" customFormat="1" x14ac:dyDescent="0.2">
      <c r="A12" s="269">
        <v>2</v>
      </c>
      <c r="B12" s="261" t="s">
        <v>419</v>
      </c>
      <c r="C12" s="238" t="str">
        <f>C11</f>
        <v>м3</v>
      </c>
      <c r="D12" s="136">
        <v>9.8000000000000007</v>
      </c>
      <c r="E12" s="238"/>
      <c r="F12" s="136"/>
      <c r="G12" s="136"/>
      <c r="H12" s="136"/>
      <c r="I12" s="136">
        <f>D12*G12</f>
        <v>0</v>
      </c>
      <c r="J12" s="136">
        <f>I12</f>
        <v>0</v>
      </c>
      <c r="K12" s="286"/>
    </row>
    <row r="13" spans="1:11" s="287" customFormat="1" x14ac:dyDescent="0.2">
      <c r="A13" s="269">
        <v>3</v>
      </c>
      <c r="B13" s="261" t="s">
        <v>418</v>
      </c>
      <c r="C13" s="238" t="s">
        <v>18</v>
      </c>
      <c r="D13" s="238">
        <v>1350</v>
      </c>
      <c r="E13" s="238"/>
      <c r="F13" s="136"/>
      <c r="G13" s="136"/>
      <c r="H13" s="136"/>
      <c r="I13" s="136">
        <f>D13*G13</f>
        <v>0</v>
      </c>
      <c r="J13" s="136">
        <f>I13</f>
        <v>0</v>
      </c>
      <c r="K13" s="286"/>
    </row>
    <row r="14" spans="1:11" s="287" customFormat="1" x14ac:dyDescent="0.2">
      <c r="A14" s="269">
        <v>4</v>
      </c>
      <c r="B14" s="261" t="s">
        <v>420</v>
      </c>
      <c r="C14" s="238" t="s">
        <v>18</v>
      </c>
      <c r="D14" s="238">
        <v>20</v>
      </c>
      <c r="E14" s="238"/>
      <c r="F14" s="136"/>
      <c r="G14" s="136"/>
      <c r="H14" s="136"/>
      <c r="I14" s="136">
        <f>D14*G14</f>
        <v>0</v>
      </c>
      <c r="J14" s="136">
        <f>I14</f>
        <v>0</v>
      </c>
      <c r="K14" s="286"/>
    </row>
    <row r="15" spans="1:11" ht="30" x14ac:dyDescent="0.25">
      <c r="A15" s="269">
        <v>5</v>
      </c>
      <c r="B15" s="260" t="s">
        <v>421</v>
      </c>
      <c r="C15" s="270" t="s">
        <v>371</v>
      </c>
      <c r="D15" s="84">
        <v>13.5</v>
      </c>
      <c r="E15" s="270"/>
      <c r="F15" s="84"/>
      <c r="G15" s="84"/>
      <c r="H15" s="84">
        <f>D15*F15</f>
        <v>0</v>
      </c>
      <c r="I15" s="84"/>
      <c r="J15" s="84">
        <f>H15</f>
        <v>0</v>
      </c>
      <c r="K15" s="285"/>
    </row>
    <row r="16" spans="1:11" s="287" customFormat="1" x14ac:dyDescent="0.2">
      <c r="A16" s="269">
        <v>6</v>
      </c>
      <c r="B16" s="261" t="s">
        <v>419</v>
      </c>
      <c r="C16" s="238" t="str">
        <f>C15</f>
        <v>м3</v>
      </c>
      <c r="D16" s="136">
        <v>14.1</v>
      </c>
      <c r="E16" s="238"/>
      <c r="F16" s="136"/>
      <c r="G16" s="136"/>
      <c r="H16" s="136"/>
      <c r="I16" s="136">
        <f>D16*G16</f>
        <v>0</v>
      </c>
      <c r="J16" s="136">
        <f>I16</f>
        <v>0</v>
      </c>
      <c r="K16" s="286"/>
    </row>
    <row r="17" spans="1:11" s="287" customFormat="1" x14ac:dyDescent="0.2">
      <c r="A17" s="269">
        <v>7</v>
      </c>
      <c r="B17" s="261" t="s">
        <v>418</v>
      </c>
      <c r="C17" s="238" t="s">
        <v>18</v>
      </c>
      <c r="D17" s="238">
        <v>1450</v>
      </c>
      <c r="E17" s="238"/>
      <c r="F17" s="136"/>
      <c r="G17" s="136"/>
      <c r="H17" s="136"/>
      <c r="I17" s="136">
        <f>D17*G17</f>
        <v>0</v>
      </c>
      <c r="J17" s="136">
        <f>I17</f>
        <v>0</v>
      </c>
      <c r="K17" s="286"/>
    </row>
    <row r="18" spans="1:11" s="287" customFormat="1" x14ac:dyDescent="0.2">
      <c r="A18" s="269">
        <v>8</v>
      </c>
      <c r="B18" s="261" t="s">
        <v>420</v>
      </c>
      <c r="C18" s="238" t="s">
        <v>18</v>
      </c>
      <c r="D18" s="238">
        <v>120</v>
      </c>
      <c r="E18" s="238"/>
      <c r="F18" s="136"/>
      <c r="G18" s="136"/>
      <c r="H18" s="136"/>
      <c r="I18" s="136">
        <f>D18*G18</f>
        <v>0</v>
      </c>
      <c r="J18" s="136">
        <f>I18</f>
        <v>0</v>
      </c>
      <c r="K18" s="286"/>
    </row>
    <row r="19" spans="1:11" s="287" customFormat="1" x14ac:dyDescent="0.2">
      <c r="A19" s="269">
        <v>9</v>
      </c>
      <c r="B19" s="261" t="s">
        <v>422</v>
      </c>
      <c r="C19" s="238" t="s">
        <v>18</v>
      </c>
      <c r="D19" s="238">
        <v>90</v>
      </c>
      <c r="E19" s="238"/>
      <c r="F19" s="136"/>
      <c r="G19" s="136"/>
      <c r="H19" s="136"/>
      <c r="I19" s="136">
        <f>D19*G19</f>
        <v>0</v>
      </c>
      <c r="J19" s="136">
        <f>I19</f>
        <v>0</v>
      </c>
      <c r="K19" s="286"/>
    </row>
    <row r="20" spans="1:11" s="287" customFormat="1" x14ac:dyDescent="0.2">
      <c r="A20" s="269">
        <v>10</v>
      </c>
      <c r="B20" s="261" t="s">
        <v>423</v>
      </c>
      <c r="C20" s="238" t="s">
        <v>371</v>
      </c>
      <c r="D20" s="238"/>
      <c r="E20" s="238"/>
      <c r="F20" s="136"/>
      <c r="G20" s="136"/>
      <c r="H20" s="136"/>
      <c r="I20" s="136">
        <f>D20*G20</f>
        <v>0</v>
      </c>
      <c r="J20" s="136">
        <f>I20</f>
        <v>0</v>
      </c>
      <c r="K20" s="286"/>
    </row>
    <row r="21" spans="1:11" ht="45" x14ac:dyDescent="0.25">
      <c r="A21" s="269">
        <v>11</v>
      </c>
      <c r="B21" s="260" t="s">
        <v>505</v>
      </c>
      <c r="C21" s="270" t="s">
        <v>371</v>
      </c>
      <c r="D21" s="84">
        <v>103.87</v>
      </c>
      <c r="E21" s="270"/>
      <c r="F21" s="84"/>
      <c r="G21" s="84"/>
      <c r="H21" s="84">
        <f>D21*F21</f>
        <v>0</v>
      </c>
      <c r="I21" s="84"/>
      <c r="J21" s="84">
        <f>H21</f>
        <v>0</v>
      </c>
      <c r="K21" s="285"/>
    </row>
    <row r="22" spans="1:11" s="287" customFormat="1" ht="25.5" x14ac:dyDescent="0.2">
      <c r="A22" s="269">
        <v>12</v>
      </c>
      <c r="B22" s="261" t="s">
        <v>508</v>
      </c>
      <c r="C22" s="238" t="s">
        <v>44</v>
      </c>
      <c r="D22" s="288">
        <v>12858</v>
      </c>
      <c r="E22" s="238"/>
      <c r="F22" s="136"/>
      <c r="G22" s="136"/>
      <c r="H22" s="136"/>
      <c r="I22" s="136">
        <f t="shared" ref="I22:I29" si="0">D22*G22</f>
        <v>0</v>
      </c>
      <c r="J22" s="136">
        <f t="shared" ref="J22:J29" si="1">I22</f>
        <v>0</v>
      </c>
      <c r="K22" s="286"/>
    </row>
    <row r="23" spans="1:11" s="287" customFormat="1" ht="25.5" x14ac:dyDescent="0.2">
      <c r="A23" s="269">
        <v>13</v>
      </c>
      <c r="B23" s="261" t="s">
        <v>509</v>
      </c>
      <c r="C23" s="238" t="s">
        <v>44</v>
      </c>
      <c r="D23" s="288">
        <v>7916</v>
      </c>
      <c r="E23" s="238"/>
      <c r="F23" s="136"/>
      <c r="G23" s="136"/>
      <c r="H23" s="136"/>
      <c r="I23" s="136">
        <f t="shared" si="0"/>
        <v>0</v>
      </c>
      <c r="J23" s="136">
        <f t="shared" si="1"/>
        <v>0</v>
      </c>
      <c r="K23" s="286"/>
    </row>
    <row r="24" spans="1:11" s="287" customFormat="1" x14ac:dyDescent="0.2">
      <c r="A24" s="269">
        <v>14</v>
      </c>
      <c r="B24" s="261" t="s">
        <v>413</v>
      </c>
      <c r="C24" s="238" t="s">
        <v>76</v>
      </c>
      <c r="D24" s="238"/>
      <c r="E24" s="238"/>
      <c r="F24" s="136"/>
      <c r="G24" s="136"/>
      <c r="H24" s="136"/>
      <c r="I24" s="136">
        <f>D24*G24</f>
        <v>0</v>
      </c>
      <c r="J24" s="136">
        <f>I24</f>
        <v>0</v>
      </c>
      <c r="K24" s="286"/>
    </row>
    <row r="25" spans="1:11" s="287" customFormat="1" x14ac:dyDescent="0.2">
      <c r="A25" s="269">
        <v>15</v>
      </c>
      <c r="B25" s="261" t="s">
        <v>373</v>
      </c>
      <c r="C25" s="238" t="s">
        <v>372</v>
      </c>
      <c r="D25" s="289"/>
      <c r="E25" s="238"/>
      <c r="F25" s="136"/>
      <c r="G25" s="136"/>
      <c r="H25" s="136"/>
      <c r="I25" s="136">
        <f t="shared" si="0"/>
        <v>0</v>
      </c>
      <c r="J25" s="136">
        <f t="shared" si="1"/>
        <v>0</v>
      </c>
      <c r="K25" s="286"/>
    </row>
    <row r="26" spans="1:11" s="287" customFormat="1" x14ac:dyDescent="0.2">
      <c r="A26" s="269">
        <v>16</v>
      </c>
      <c r="B26" s="261" t="s">
        <v>374</v>
      </c>
      <c r="C26" s="238" t="s">
        <v>371</v>
      </c>
      <c r="D26" s="238"/>
      <c r="E26" s="238"/>
      <c r="F26" s="136"/>
      <c r="G26" s="136"/>
      <c r="H26" s="136"/>
      <c r="I26" s="136">
        <f t="shared" si="0"/>
        <v>0</v>
      </c>
      <c r="J26" s="136">
        <f t="shared" si="1"/>
        <v>0</v>
      </c>
      <c r="K26" s="286"/>
    </row>
    <row r="27" spans="1:11" s="287" customFormat="1" x14ac:dyDescent="0.2">
      <c r="A27" s="269">
        <v>17</v>
      </c>
      <c r="B27" s="261" t="s">
        <v>416</v>
      </c>
      <c r="C27" s="238" t="s">
        <v>44</v>
      </c>
      <c r="D27" s="238">
        <v>2</v>
      </c>
      <c r="E27" s="238"/>
      <c r="F27" s="136"/>
      <c r="G27" s="136"/>
      <c r="H27" s="136"/>
      <c r="I27" s="136">
        <f t="shared" si="0"/>
        <v>0</v>
      </c>
      <c r="J27" s="136">
        <f t="shared" si="1"/>
        <v>0</v>
      </c>
      <c r="K27" s="286"/>
    </row>
    <row r="28" spans="1:11" s="287" customFormat="1" x14ac:dyDescent="0.2">
      <c r="A28" s="269">
        <v>18</v>
      </c>
      <c r="B28" s="261" t="s">
        <v>375</v>
      </c>
      <c r="C28" s="238" t="s">
        <v>44</v>
      </c>
      <c r="D28" s="238">
        <v>1</v>
      </c>
      <c r="E28" s="238"/>
      <c r="F28" s="136"/>
      <c r="G28" s="136"/>
      <c r="H28" s="136"/>
      <c r="I28" s="136">
        <f t="shared" si="0"/>
        <v>0</v>
      </c>
      <c r="J28" s="136">
        <f t="shared" si="1"/>
        <v>0</v>
      </c>
      <c r="K28" s="286"/>
    </row>
    <row r="29" spans="1:11" s="287" customFormat="1" ht="15.75" customHeight="1" x14ac:dyDescent="0.2">
      <c r="A29" s="269">
        <v>19</v>
      </c>
      <c r="B29" s="261" t="s">
        <v>377</v>
      </c>
      <c r="C29" s="238" t="s">
        <v>376</v>
      </c>
      <c r="D29" s="238">
        <v>2</v>
      </c>
      <c r="E29" s="238"/>
      <c r="F29" s="136"/>
      <c r="G29" s="136"/>
      <c r="H29" s="136"/>
      <c r="I29" s="136">
        <f t="shared" si="0"/>
        <v>0</v>
      </c>
      <c r="J29" s="136">
        <f t="shared" si="1"/>
        <v>0</v>
      </c>
      <c r="K29" s="286"/>
    </row>
    <row r="30" spans="1:11" x14ac:dyDescent="0.25">
      <c r="A30" s="269">
        <v>20</v>
      </c>
      <c r="B30" s="260" t="s">
        <v>378</v>
      </c>
      <c r="C30" s="270" t="s">
        <v>76</v>
      </c>
      <c r="D30" s="270">
        <v>206.91000000000003</v>
      </c>
      <c r="E30" s="270"/>
      <c r="F30" s="84"/>
      <c r="G30" s="84"/>
      <c r="H30" s="84">
        <f>D30*F30</f>
        <v>0</v>
      </c>
      <c r="I30" s="84"/>
      <c r="J30" s="84">
        <f>H30</f>
        <v>0</v>
      </c>
      <c r="K30" s="285"/>
    </row>
    <row r="31" spans="1:11" x14ac:dyDescent="0.25">
      <c r="A31" s="269">
        <v>21</v>
      </c>
      <c r="B31" s="260" t="s">
        <v>414</v>
      </c>
      <c r="C31" s="270" t="s">
        <v>76</v>
      </c>
      <c r="D31" s="270">
        <v>198.6</v>
      </c>
      <c r="E31" s="270"/>
      <c r="F31" s="84"/>
      <c r="G31" s="84"/>
      <c r="H31" s="84">
        <f>D31*F31</f>
        <v>0</v>
      </c>
      <c r="I31" s="84"/>
      <c r="J31" s="84">
        <f>H31</f>
        <v>0</v>
      </c>
      <c r="K31" s="285"/>
    </row>
    <row r="32" spans="1:11" s="287" customFormat="1" x14ac:dyDescent="0.2">
      <c r="A32" s="269">
        <v>22</v>
      </c>
      <c r="B32" s="261" t="s">
        <v>506</v>
      </c>
      <c r="C32" s="238" t="s">
        <v>44</v>
      </c>
      <c r="D32" s="288">
        <v>5296</v>
      </c>
      <c r="E32" s="238"/>
      <c r="F32" s="136"/>
      <c r="G32" s="136"/>
      <c r="H32" s="136"/>
      <c r="I32" s="136">
        <f>D32*G32</f>
        <v>0</v>
      </c>
      <c r="J32" s="136">
        <f>I32</f>
        <v>0</v>
      </c>
      <c r="K32" s="286"/>
    </row>
    <row r="33" spans="1:11" s="287" customFormat="1" x14ac:dyDescent="0.2">
      <c r="A33" s="269">
        <v>23</v>
      </c>
      <c r="B33" s="261" t="s">
        <v>507</v>
      </c>
      <c r="C33" s="238" t="s">
        <v>44</v>
      </c>
      <c r="D33" s="288">
        <v>4094</v>
      </c>
      <c r="E33" s="238"/>
      <c r="F33" s="136"/>
      <c r="G33" s="136"/>
      <c r="H33" s="136"/>
      <c r="I33" s="136">
        <f>D33*G33</f>
        <v>0</v>
      </c>
      <c r="J33" s="136">
        <f>I33</f>
        <v>0</v>
      </c>
      <c r="K33" s="286"/>
    </row>
    <row r="34" spans="1:11" s="287" customFormat="1" x14ac:dyDescent="0.2">
      <c r="A34" s="269">
        <v>24</v>
      </c>
      <c r="B34" s="261" t="s">
        <v>373</v>
      </c>
      <c r="C34" s="238" t="s">
        <v>372</v>
      </c>
      <c r="D34" s="289"/>
      <c r="E34" s="238"/>
      <c r="F34" s="136"/>
      <c r="G34" s="136"/>
      <c r="H34" s="136"/>
      <c r="I34" s="136">
        <f>D34*G34</f>
        <v>0</v>
      </c>
      <c r="J34" s="136">
        <f>I34</f>
        <v>0</v>
      </c>
      <c r="K34" s="286"/>
    </row>
    <row r="35" spans="1:11" s="287" customFormat="1" x14ac:dyDescent="0.2">
      <c r="A35" s="269">
        <v>25</v>
      </c>
      <c r="B35" s="261" t="s">
        <v>374</v>
      </c>
      <c r="C35" s="238" t="s">
        <v>371</v>
      </c>
      <c r="D35" s="136"/>
      <c r="E35" s="238"/>
      <c r="F35" s="136"/>
      <c r="G35" s="136"/>
      <c r="H35" s="136"/>
      <c r="I35" s="136">
        <f>D35*G35</f>
        <v>0</v>
      </c>
      <c r="J35" s="136">
        <f>I35</f>
        <v>0</v>
      </c>
      <c r="K35" s="286"/>
    </row>
    <row r="36" spans="1:11" s="287" customFormat="1" x14ac:dyDescent="0.2">
      <c r="A36" s="269">
        <v>26</v>
      </c>
      <c r="B36" s="261" t="s">
        <v>415</v>
      </c>
      <c r="C36" s="238" t="s">
        <v>44</v>
      </c>
      <c r="D36" s="238">
        <v>2</v>
      </c>
      <c r="E36" s="238"/>
      <c r="F36" s="136"/>
      <c r="G36" s="136"/>
      <c r="H36" s="136"/>
      <c r="I36" s="136">
        <f>D36*G36</f>
        <v>0</v>
      </c>
      <c r="J36" s="136">
        <f>I36</f>
        <v>0</v>
      </c>
      <c r="K36" s="286"/>
    </row>
    <row r="37" spans="1:11" s="287" customFormat="1" ht="15" customHeight="1" x14ac:dyDescent="0.2">
      <c r="A37" s="269">
        <v>27</v>
      </c>
      <c r="B37" s="261" t="s">
        <v>377</v>
      </c>
      <c r="C37" s="238" t="s">
        <v>376</v>
      </c>
      <c r="D37" s="238">
        <v>1</v>
      </c>
      <c r="E37" s="238"/>
      <c r="F37" s="136"/>
      <c r="G37" s="136"/>
      <c r="H37" s="136"/>
      <c r="I37" s="136">
        <f>D37*G37</f>
        <v>0</v>
      </c>
      <c r="J37" s="136">
        <f>I37</f>
        <v>0</v>
      </c>
      <c r="K37" s="286"/>
    </row>
    <row r="38" spans="1:11" ht="30" x14ac:dyDescent="0.25">
      <c r="A38" s="269">
        <v>28</v>
      </c>
      <c r="B38" s="260" t="s">
        <v>510</v>
      </c>
      <c r="C38" s="270" t="s">
        <v>371</v>
      </c>
      <c r="D38" s="84">
        <v>18.5</v>
      </c>
      <c r="E38" s="270"/>
      <c r="F38" s="84"/>
      <c r="G38" s="84"/>
      <c r="H38" s="84">
        <f>D38*F38</f>
        <v>0</v>
      </c>
      <c r="I38" s="84"/>
      <c r="J38" s="84">
        <f>H38</f>
        <v>0</v>
      </c>
      <c r="K38" s="285"/>
    </row>
    <row r="39" spans="1:11" s="287" customFormat="1" x14ac:dyDescent="0.2">
      <c r="A39" s="269">
        <v>29</v>
      </c>
      <c r="B39" s="261" t="s">
        <v>490</v>
      </c>
      <c r="C39" s="238" t="s">
        <v>44</v>
      </c>
      <c r="D39" s="290">
        <v>9487</v>
      </c>
      <c r="E39" s="238"/>
      <c r="F39" s="136"/>
      <c r="G39" s="136"/>
      <c r="H39" s="136"/>
      <c r="I39" s="136">
        <f t="shared" ref="I39" si="2">D39*G39</f>
        <v>0</v>
      </c>
      <c r="J39" s="136">
        <f t="shared" ref="J39" si="3">I39</f>
        <v>0</v>
      </c>
      <c r="K39" s="286"/>
    </row>
    <row r="40" spans="1:11" s="287" customFormat="1" x14ac:dyDescent="0.2">
      <c r="A40" s="269">
        <v>30</v>
      </c>
      <c r="B40" s="261" t="s">
        <v>373</v>
      </c>
      <c r="C40" s="238" t="s">
        <v>372</v>
      </c>
      <c r="D40" s="289"/>
      <c r="E40" s="238"/>
      <c r="F40" s="136"/>
      <c r="G40" s="136"/>
      <c r="H40" s="136"/>
      <c r="I40" s="136">
        <f>D40*G40</f>
        <v>0</v>
      </c>
      <c r="J40" s="136">
        <f>I40</f>
        <v>0</v>
      </c>
      <c r="K40" s="286"/>
    </row>
    <row r="41" spans="1:11" s="287" customFormat="1" x14ac:dyDescent="0.2">
      <c r="A41" s="269">
        <v>31</v>
      </c>
      <c r="B41" s="261" t="s">
        <v>374</v>
      </c>
      <c r="C41" s="238" t="s">
        <v>371</v>
      </c>
      <c r="D41" s="136"/>
      <c r="E41" s="238"/>
      <c r="F41" s="136"/>
      <c r="G41" s="136"/>
      <c r="H41" s="136"/>
      <c r="I41" s="136">
        <f>D41*G41</f>
        <v>0</v>
      </c>
      <c r="J41" s="136">
        <f>I41</f>
        <v>0</v>
      </c>
      <c r="K41" s="286"/>
    </row>
    <row r="42" spans="1:11" s="287" customFormat="1" x14ac:dyDescent="0.2">
      <c r="A42" s="269">
        <v>32</v>
      </c>
      <c r="B42" s="261" t="s">
        <v>415</v>
      </c>
      <c r="C42" s="238" t="s">
        <v>44</v>
      </c>
      <c r="D42" s="238">
        <v>2</v>
      </c>
      <c r="E42" s="238"/>
      <c r="F42" s="136"/>
      <c r="G42" s="136"/>
      <c r="H42" s="136"/>
      <c r="I42" s="136">
        <f>D42*G42</f>
        <v>0</v>
      </c>
      <c r="J42" s="136">
        <f>I42</f>
        <v>0</v>
      </c>
      <c r="K42" s="286"/>
    </row>
    <row r="43" spans="1:11" s="287" customFormat="1" ht="15" customHeight="1" x14ac:dyDescent="0.2">
      <c r="A43" s="269">
        <v>33</v>
      </c>
      <c r="B43" s="261" t="s">
        <v>377</v>
      </c>
      <c r="C43" s="238" t="s">
        <v>376</v>
      </c>
      <c r="D43" s="238">
        <v>1</v>
      </c>
      <c r="E43" s="238"/>
      <c r="F43" s="136"/>
      <c r="G43" s="136"/>
      <c r="H43" s="136"/>
      <c r="I43" s="136">
        <f>D43*G43</f>
        <v>0</v>
      </c>
      <c r="J43" s="136">
        <f>I43</f>
        <v>0</v>
      </c>
      <c r="K43" s="286"/>
    </row>
    <row r="44" spans="1:11" x14ac:dyDescent="0.25">
      <c r="A44" s="269">
        <v>34</v>
      </c>
      <c r="B44" s="260" t="s">
        <v>481</v>
      </c>
      <c r="C44" s="270" t="s">
        <v>76</v>
      </c>
      <c r="D44" s="270">
        <v>177.32</v>
      </c>
      <c r="E44" s="270"/>
      <c r="F44" s="84"/>
      <c r="G44" s="84"/>
      <c r="H44" s="84">
        <f>D44*F44</f>
        <v>0</v>
      </c>
      <c r="I44" s="84"/>
      <c r="J44" s="84">
        <f>H44</f>
        <v>0</v>
      </c>
      <c r="K44" s="285"/>
    </row>
    <row r="45" spans="1:11" s="287" customFormat="1" x14ac:dyDescent="0.2">
      <c r="A45" s="269">
        <v>35</v>
      </c>
      <c r="B45" s="261" t="s">
        <v>379</v>
      </c>
      <c r="C45" s="238" t="s">
        <v>371</v>
      </c>
      <c r="D45" s="289">
        <v>18.600000000000001</v>
      </c>
      <c r="E45" s="238"/>
      <c r="F45" s="136"/>
      <c r="G45" s="136"/>
      <c r="H45" s="136"/>
      <c r="I45" s="136">
        <f>D45*G45</f>
        <v>0</v>
      </c>
      <c r="J45" s="136">
        <f>I45</f>
        <v>0</v>
      </c>
      <c r="K45" s="286"/>
    </row>
    <row r="46" spans="1:11" s="287" customFormat="1" x14ac:dyDescent="0.2">
      <c r="A46" s="269">
        <v>36</v>
      </c>
      <c r="B46" s="261" t="s">
        <v>487</v>
      </c>
      <c r="C46" s="270" t="s">
        <v>76</v>
      </c>
      <c r="D46" s="289">
        <v>177.32</v>
      </c>
      <c r="E46" s="238"/>
      <c r="F46" s="136"/>
      <c r="G46" s="136"/>
      <c r="H46" s="136"/>
      <c r="I46" s="136">
        <f>D46*G46</f>
        <v>0</v>
      </c>
      <c r="J46" s="136">
        <f>I46</f>
        <v>0</v>
      </c>
      <c r="K46" s="286"/>
    </row>
    <row r="47" spans="1:11" s="287" customFormat="1" x14ac:dyDescent="0.2">
      <c r="A47" s="269">
        <v>37</v>
      </c>
      <c r="B47" s="261" t="s">
        <v>439</v>
      </c>
      <c r="C47" s="238" t="s">
        <v>371</v>
      </c>
      <c r="D47" s="238"/>
      <c r="E47" s="238"/>
      <c r="F47" s="136"/>
      <c r="G47" s="136"/>
      <c r="H47" s="136"/>
      <c r="I47" s="136">
        <f>D47*G47</f>
        <v>0</v>
      </c>
      <c r="J47" s="136">
        <f>I47</f>
        <v>0</v>
      </c>
      <c r="K47" s="286"/>
    </row>
    <row r="48" spans="1:11" x14ac:dyDescent="0.25">
      <c r="A48" s="269">
        <v>38</v>
      </c>
      <c r="B48" s="260" t="s">
        <v>378</v>
      </c>
      <c r="C48" s="270" t="s">
        <v>76</v>
      </c>
      <c r="D48" s="270">
        <v>127.1</v>
      </c>
      <c r="E48" s="270"/>
      <c r="F48" s="84"/>
      <c r="G48" s="84"/>
      <c r="H48" s="84">
        <f>D48*F48</f>
        <v>0</v>
      </c>
      <c r="I48" s="84"/>
      <c r="J48" s="84">
        <f>H48</f>
        <v>0</v>
      </c>
      <c r="K48" s="285"/>
    </row>
    <row r="49" spans="1:11" ht="16.5" customHeight="1" x14ac:dyDescent="0.25">
      <c r="A49" s="269">
        <v>39</v>
      </c>
      <c r="B49" s="260" t="s">
        <v>491</v>
      </c>
      <c r="C49" s="270" t="s">
        <v>424</v>
      </c>
      <c r="D49" s="84">
        <v>205.5</v>
      </c>
      <c r="E49" s="270"/>
      <c r="F49" s="84"/>
      <c r="G49" s="84"/>
      <c r="H49" s="84">
        <f>D49*F49</f>
        <v>0</v>
      </c>
      <c r="I49" s="84"/>
      <c r="J49" s="84">
        <f>H49</f>
        <v>0</v>
      </c>
      <c r="K49" s="285"/>
    </row>
    <row r="50" spans="1:11" s="287" customFormat="1" ht="15" customHeight="1" x14ac:dyDescent="0.2">
      <c r="A50" s="269">
        <v>40</v>
      </c>
      <c r="B50" s="261" t="s">
        <v>467</v>
      </c>
      <c r="C50" s="238" t="s">
        <v>424</v>
      </c>
      <c r="D50" s="238">
        <v>205.5</v>
      </c>
      <c r="E50" s="238"/>
      <c r="F50" s="136"/>
      <c r="G50" s="136"/>
      <c r="H50" s="136"/>
      <c r="I50" s="136">
        <f>D50*G50</f>
        <v>0</v>
      </c>
      <c r="J50" s="136">
        <f>I50</f>
        <v>0</v>
      </c>
      <c r="K50" s="286"/>
    </row>
    <row r="51" spans="1:11" ht="30" x14ac:dyDescent="0.25">
      <c r="A51" s="269">
        <v>41</v>
      </c>
      <c r="B51" s="260" t="s">
        <v>502</v>
      </c>
      <c r="C51" s="270" t="s">
        <v>76</v>
      </c>
      <c r="D51" s="84">
        <v>18</v>
      </c>
      <c r="E51" s="270"/>
      <c r="F51" s="84"/>
      <c r="G51" s="84"/>
      <c r="H51" s="84">
        <f>D51*F51</f>
        <v>0</v>
      </c>
      <c r="I51" s="84"/>
      <c r="J51" s="84">
        <f>H51</f>
        <v>0</v>
      </c>
      <c r="K51" s="285"/>
    </row>
    <row r="52" spans="1:11" s="287" customFormat="1" x14ac:dyDescent="0.2">
      <c r="A52" s="269">
        <v>42</v>
      </c>
      <c r="B52" s="261" t="s">
        <v>472</v>
      </c>
      <c r="C52" s="238" t="s">
        <v>76</v>
      </c>
      <c r="D52" s="136">
        <v>18.900000000000002</v>
      </c>
      <c r="E52" s="238"/>
      <c r="F52" s="136"/>
      <c r="G52" s="136"/>
      <c r="H52" s="136"/>
      <c r="I52" s="136">
        <f>D52*G52</f>
        <v>0</v>
      </c>
      <c r="J52" s="136">
        <f>I52</f>
        <v>0</v>
      </c>
      <c r="K52" s="286"/>
    </row>
    <row r="53" spans="1:11" ht="30" x14ac:dyDescent="0.25">
      <c r="A53" s="269">
        <v>43</v>
      </c>
      <c r="B53" s="260" t="s">
        <v>476</v>
      </c>
      <c r="C53" s="270" t="s">
        <v>44</v>
      </c>
      <c r="D53" s="84">
        <v>4</v>
      </c>
      <c r="E53" s="270"/>
      <c r="F53" s="84"/>
      <c r="G53" s="84"/>
      <c r="H53" s="84">
        <f>D53*F53</f>
        <v>0</v>
      </c>
      <c r="I53" s="84"/>
      <c r="J53" s="84">
        <f>H53</f>
        <v>0</v>
      </c>
      <c r="K53" s="285"/>
    </row>
    <row r="54" spans="1:11" s="287" customFormat="1" x14ac:dyDescent="0.2">
      <c r="A54" s="269">
        <v>44</v>
      </c>
      <c r="B54" s="261" t="s">
        <v>496</v>
      </c>
      <c r="C54" s="238" t="s">
        <v>44</v>
      </c>
      <c r="D54" s="238">
        <v>1</v>
      </c>
      <c r="E54" s="238"/>
      <c r="F54" s="136"/>
      <c r="G54" s="264"/>
      <c r="H54" s="136"/>
      <c r="I54" s="136">
        <f>D54*G54</f>
        <v>0</v>
      </c>
      <c r="J54" s="136">
        <f>I54</f>
        <v>0</v>
      </c>
      <c r="K54" s="286"/>
    </row>
    <row r="55" spans="1:11" s="287" customFormat="1" x14ac:dyDescent="0.2">
      <c r="A55" s="269">
        <v>45</v>
      </c>
      <c r="B55" s="261" t="s">
        <v>495</v>
      </c>
      <c r="C55" s="238" t="s">
        <v>44</v>
      </c>
      <c r="D55" s="238">
        <v>2</v>
      </c>
      <c r="E55" s="238"/>
      <c r="F55" s="136"/>
      <c r="G55" s="264"/>
      <c r="H55" s="136"/>
      <c r="I55" s="136">
        <f>D55*G55</f>
        <v>0</v>
      </c>
      <c r="J55" s="136">
        <f>I55</f>
        <v>0</v>
      </c>
      <c r="K55" s="286"/>
    </row>
    <row r="56" spans="1:11" s="287" customFormat="1" x14ac:dyDescent="0.2">
      <c r="A56" s="269">
        <v>46</v>
      </c>
      <c r="B56" s="261" t="s">
        <v>497</v>
      </c>
      <c r="C56" s="238" t="s">
        <v>44</v>
      </c>
      <c r="D56" s="238">
        <v>1</v>
      </c>
      <c r="E56" s="238"/>
      <c r="F56" s="136"/>
      <c r="G56" s="264"/>
      <c r="H56" s="136"/>
      <c r="I56" s="136">
        <f>D56*G56</f>
        <v>0</v>
      </c>
      <c r="J56" s="136">
        <f>I56</f>
        <v>0</v>
      </c>
      <c r="K56" s="286"/>
    </row>
    <row r="57" spans="1:11" s="287" customFormat="1" x14ac:dyDescent="0.2">
      <c r="A57" s="269">
        <v>47</v>
      </c>
      <c r="B57" s="261" t="s">
        <v>448</v>
      </c>
      <c r="C57" s="238" t="s">
        <v>44</v>
      </c>
      <c r="D57" s="238">
        <v>2</v>
      </c>
      <c r="E57" s="238"/>
      <c r="F57" s="136"/>
      <c r="G57" s="264"/>
      <c r="H57" s="136"/>
      <c r="I57" s="136">
        <f>D57*G57</f>
        <v>0</v>
      </c>
      <c r="J57" s="136">
        <f>I57</f>
        <v>0</v>
      </c>
      <c r="K57" s="286"/>
    </row>
    <row r="58" spans="1:11" ht="30" x14ac:dyDescent="0.25">
      <c r="A58" s="269">
        <v>48</v>
      </c>
      <c r="B58" s="260" t="s">
        <v>477</v>
      </c>
      <c r="C58" s="270" t="s">
        <v>3</v>
      </c>
      <c r="D58" s="270">
        <v>35</v>
      </c>
      <c r="E58" s="270"/>
      <c r="F58" s="84"/>
      <c r="G58" s="84"/>
      <c r="H58" s="84">
        <f>D58*F58</f>
        <v>0</v>
      </c>
      <c r="I58" s="84"/>
      <c r="J58" s="84">
        <f>H58</f>
        <v>0</v>
      </c>
      <c r="K58" s="285"/>
    </row>
    <row r="59" spans="1:11" x14ac:dyDescent="0.25">
      <c r="A59" s="269">
        <v>49</v>
      </c>
      <c r="B59" s="261" t="s">
        <v>498</v>
      </c>
      <c r="C59" s="270" t="s">
        <v>3</v>
      </c>
      <c r="D59" s="270">
        <v>22</v>
      </c>
      <c r="E59" s="270"/>
      <c r="F59" s="84"/>
      <c r="G59" s="84"/>
      <c r="H59" s="84"/>
      <c r="I59" s="136">
        <f t="shared" ref="I59:I62" si="4">D59*G59</f>
        <v>0</v>
      </c>
      <c r="J59" s="136">
        <f t="shared" ref="J59:J62" si="5">I59</f>
        <v>0</v>
      </c>
      <c r="K59" s="285"/>
    </row>
    <row r="60" spans="1:11" x14ac:dyDescent="0.25">
      <c r="A60" s="269">
        <v>50</v>
      </c>
      <c r="B60" s="261" t="s">
        <v>499</v>
      </c>
      <c r="C60" s="270" t="s">
        <v>3</v>
      </c>
      <c r="D60" s="270">
        <v>7</v>
      </c>
      <c r="E60" s="270"/>
      <c r="F60" s="84"/>
      <c r="G60" s="84"/>
      <c r="H60" s="84"/>
      <c r="I60" s="136">
        <f t="shared" si="4"/>
        <v>0</v>
      </c>
      <c r="J60" s="136">
        <f t="shared" si="5"/>
        <v>0</v>
      </c>
      <c r="K60" s="285"/>
    </row>
    <row r="61" spans="1:11" x14ac:dyDescent="0.25">
      <c r="A61" s="269">
        <v>51</v>
      </c>
      <c r="B61" s="261" t="s">
        <v>500</v>
      </c>
      <c r="C61" s="270" t="s">
        <v>3</v>
      </c>
      <c r="D61" s="270">
        <v>6</v>
      </c>
      <c r="E61" s="270"/>
      <c r="F61" s="84"/>
      <c r="G61" s="84"/>
      <c r="H61" s="84"/>
      <c r="I61" s="136">
        <f t="shared" si="4"/>
        <v>0</v>
      </c>
      <c r="J61" s="136">
        <f t="shared" si="5"/>
        <v>0</v>
      </c>
      <c r="K61" s="285"/>
    </row>
    <row r="62" spans="1:11" s="287" customFormat="1" x14ac:dyDescent="0.2">
      <c r="A62" s="269">
        <v>52</v>
      </c>
      <c r="B62" s="261" t="s">
        <v>511</v>
      </c>
      <c r="C62" s="238" t="s">
        <v>18</v>
      </c>
      <c r="D62" s="136">
        <v>8.85</v>
      </c>
      <c r="E62" s="238"/>
      <c r="F62" s="136"/>
      <c r="G62" s="136"/>
      <c r="H62" s="136"/>
      <c r="I62" s="136">
        <f t="shared" si="4"/>
        <v>0</v>
      </c>
      <c r="J62" s="136">
        <f t="shared" si="5"/>
        <v>0</v>
      </c>
      <c r="K62" s="286"/>
    </row>
    <row r="63" spans="1:11" ht="30" x14ac:dyDescent="0.25">
      <c r="A63" s="269">
        <v>53</v>
      </c>
      <c r="B63" s="260" t="s">
        <v>479</v>
      </c>
      <c r="C63" s="270" t="s">
        <v>371</v>
      </c>
      <c r="D63" s="84">
        <v>14.3</v>
      </c>
      <c r="E63" s="270"/>
      <c r="F63" s="84"/>
      <c r="G63" s="84"/>
      <c r="H63" s="84">
        <f>D63*F63</f>
        <v>0</v>
      </c>
      <c r="I63" s="84"/>
      <c r="J63" s="84">
        <f>H63</f>
        <v>0</v>
      </c>
      <c r="K63" s="285"/>
    </row>
    <row r="64" spans="1:11" s="287" customFormat="1" x14ac:dyDescent="0.2">
      <c r="A64" s="269">
        <v>54</v>
      </c>
      <c r="B64" s="261" t="s">
        <v>478</v>
      </c>
      <c r="C64" s="238" t="str">
        <f>C63</f>
        <v>м3</v>
      </c>
      <c r="D64" s="136">
        <v>15</v>
      </c>
      <c r="E64" s="238"/>
      <c r="F64" s="136"/>
      <c r="G64" s="136"/>
      <c r="H64" s="136"/>
      <c r="I64" s="136">
        <f t="shared" ref="I64:I73" si="6">D64*G64</f>
        <v>0</v>
      </c>
      <c r="J64" s="136">
        <f t="shared" ref="J64:J73" si="7">I64</f>
        <v>0</v>
      </c>
      <c r="K64" s="286"/>
    </row>
    <row r="65" spans="1:11" s="287" customFormat="1" x14ac:dyDescent="0.2">
      <c r="A65" s="269">
        <v>55</v>
      </c>
      <c r="B65" s="261" t="s">
        <v>425</v>
      </c>
      <c r="C65" s="238" t="s">
        <v>18</v>
      </c>
      <c r="D65" s="136">
        <v>12</v>
      </c>
      <c r="E65" s="238"/>
      <c r="F65" s="136"/>
      <c r="G65" s="136"/>
      <c r="H65" s="136"/>
      <c r="I65" s="136">
        <f t="shared" si="6"/>
        <v>0</v>
      </c>
      <c r="J65" s="136">
        <f t="shared" si="7"/>
        <v>0</v>
      </c>
      <c r="K65" s="286"/>
    </row>
    <row r="66" spans="1:11" s="287" customFormat="1" x14ac:dyDescent="0.2">
      <c r="A66" s="269">
        <v>56</v>
      </c>
      <c r="B66" s="261" t="s">
        <v>426</v>
      </c>
      <c r="C66" s="238" t="s">
        <v>18</v>
      </c>
      <c r="D66" s="136">
        <v>108</v>
      </c>
      <c r="E66" s="238"/>
      <c r="F66" s="136"/>
      <c r="G66" s="136"/>
      <c r="H66" s="136"/>
      <c r="I66" s="136">
        <f t="shared" si="6"/>
        <v>0</v>
      </c>
      <c r="J66" s="136">
        <f t="shared" si="7"/>
        <v>0</v>
      </c>
      <c r="K66" s="286"/>
    </row>
    <row r="67" spans="1:11" s="287" customFormat="1" x14ac:dyDescent="0.2">
      <c r="A67" s="269">
        <v>57</v>
      </c>
      <c r="B67" s="261" t="s">
        <v>418</v>
      </c>
      <c r="C67" s="238" t="s">
        <v>18</v>
      </c>
      <c r="D67" s="136">
        <v>742</v>
      </c>
      <c r="E67" s="238"/>
      <c r="F67" s="136"/>
      <c r="G67" s="136"/>
      <c r="H67" s="136"/>
      <c r="I67" s="136">
        <f t="shared" si="6"/>
        <v>0</v>
      </c>
      <c r="J67" s="136">
        <f t="shared" si="7"/>
        <v>0</v>
      </c>
      <c r="K67" s="286"/>
    </row>
    <row r="68" spans="1:11" s="287" customFormat="1" x14ac:dyDescent="0.2">
      <c r="A68" s="269">
        <v>58</v>
      </c>
      <c r="B68" s="261" t="s">
        <v>427</v>
      </c>
      <c r="C68" s="238" t="s">
        <v>18</v>
      </c>
      <c r="D68" s="136">
        <v>95</v>
      </c>
      <c r="E68" s="238"/>
      <c r="F68" s="136"/>
      <c r="G68" s="136"/>
      <c r="H68" s="136"/>
      <c r="I68" s="136">
        <f t="shared" si="6"/>
        <v>0</v>
      </c>
      <c r="J68" s="136">
        <f t="shared" si="7"/>
        <v>0</v>
      </c>
      <c r="K68" s="286"/>
    </row>
    <row r="69" spans="1:11" s="287" customFormat="1" x14ac:dyDescent="0.2">
      <c r="A69" s="269">
        <v>59</v>
      </c>
      <c r="B69" s="261" t="s">
        <v>429</v>
      </c>
      <c r="C69" s="238" t="s">
        <v>18</v>
      </c>
      <c r="D69" s="136">
        <v>690</v>
      </c>
      <c r="E69" s="238"/>
      <c r="F69" s="136"/>
      <c r="G69" s="136"/>
      <c r="H69" s="136"/>
      <c r="I69" s="136">
        <f>D69*G69</f>
        <v>0</v>
      </c>
      <c r="J69" s="136">
        <f>I69</f>
        <v>0</v>
      </c>
      <c r="K69" s="286"/>
    </row>
    <row r="70" spans="1:11" s="287" customFormat="1" x14ac:dyDescent="0.2">
      <c r="A70" s="269">
        <v>60</v>
      </c>
      <c r="B70" s="261" t="s">
        <v>428</v>
      </c>
      <c r="C70" s="238" t="s">
        <v>18</v>
      </c>
      <c r="D70" s="136">
        <v>78</v>
      </c>
      <c r="E70" s="238"/>
      <c r="F70" s="136"/>
      <c r="G70" s="136"/>
      <c r="H70" s="136"/>
      <c r="I70" s="136">
        <f t="shared" si="6"/>
        <v>0</v>
      </c>
      <c r="J70" s="136">
        <f t="shared" si="7"/>
        <v>0</v>
      </c>
      <c r="K70" s="286"/>
    </row>
    <row r="71" spans="1:11" s="287" customFormat="1" x14ac:dyDescent="0.2">
      <c r="A71" s="269">
        <v>61</v>
      </c>
      <c r="B71" s="261" t="s">
        <v>503</v>
      </c>
      <c r="C71" s="238"/>
      <c r="D71" s="136"/>
      <c r="E71" s="238"/>
      <c r="F71" s="136"/>
      <c r="G71" s="136"/>
      <c r="H71" s="136"/>
      <c r="I71" s="136">
        <f t="shared" si="6"/>
        <v>0</v>
      </c>
      <c r="J71" s="136">
        <f t="shared" si="7"/>
        <v>0</v>
      </c>
      <c r="K71" s="286"/>
    </row>
    <row r="72" spans="1:11" s="287" customFormat="1" x14ac:dyDescent="0.2">
      <c r="A72" s="269">
        <v>62</v>
      </c>
      <c r="B72" s="261" t="s">
        <v>504</v>
      </c>
      <c r="C72" s="238" t="s">
        <v>371</v>
      </c>
      <c r="D72" s="136">
        <v>0.95</v>
      </c>
      <c r="E72" s="238"/>
      <c r="F72" s="136"/>
      <c r="G72" s="136"/>
      <c r="H72" s="136"/>
      <c r="I72" s="136">
        <f t="shared" si="6"/>
        <v>0</v>
      </c>
      <c r="J72" s="136">
        <f t="shared" si="7"/>
        <v>0</v>
      </c>
      <c r="K72" s="286"/>
    </row>
    <row r="73" spans="1:11" s="287" customFormat="1" x14ac:dyDescent="0.2">
      <c r="A73" s="269">
        <v>63</v>
      </c>
      <c r="B73" s="261" t="s">
        <v>432</v>
      </c>
      <c r="C73" s="238" t="s">
        <v>376</v>
      </c>
      <c r="D73" s="136">
        <v>1</v>
      </c>
      <c r="E73" s="238"/>
      <c r="F73" s="136"/>
      <c r="G73" s="136"/>
      <c r="H73" s="136"/>
      <c r="I73" s="136">
        <f t="shared" si="6"/>
        <v>0</v>
      </c>
      <c r="J73" s="136">
        <f t="shared" si="7"/>
        <v>0</v>
      </c>
      <c r="K73" s="286"/>
    </row>
    <row r="74" spans="1:11" x14ac:dyDescent="0.25">
      <c r="A74" s="269">
        <v>64</v>
      </c>
      <c r="B74" s="260" t="s">
        <v>430</v>
      </c>
      <c r="C74" s="270" t="s">
        <v>371</v>
      </c>
      <c r="D74" s="84">
        <v>1.8</v>
      </c>
      <c r="E74" s="270"/>
      <c r="F74" s="84"/>
      <c r="G74" s="84"/>
      <c r="H74" s="84">
        <f>D74*F74</f>
        <v>0</v>
      </c>
      <c r="I74" s="84"/>
      <c r="J74" s="84">
        <f>H74</f>
        <v>0</v>
      </c>
      <c r="K74" s="285"/>
    </row>
    <row r="75" spans="1:11" s="287" customFormat="1" x14ac:dyDescent="0.2">
      <c r="A75" s="269">
        <v>65</v>
      </c>
      <c r="B75" s="261" t="s">
        <v>478</v>
      </c>
      <c r="C75" s="238" t="str">
        <f>C74</f>
        <v>м3</v>
      </c>
      <c r="D75" s="136">
        <v>1.0900000000000001</v>
      </c>
      <c r="E75" s="238"/>
      <c r="F75" s="136"/>
      <c r="G75" s="136"/>
      <c r="H75" s="136"/>
      <c r="I75" s="136">
        <f>D75*G75</f>
        <v>0</v>
      </c>
      <c r="J75" s="136">
        <f>I75</f>
        <v>0</v>
      </c>
      <c r="K75" s="286"/>
    </row>
    <row r="76" spans="1:11" s="287" customFormat="1" x14ac:dyDescent="0.2">
      <c r="A76" s="269">
        <v>66</v>
      </c>
      <c r="B76" s="261" t="s">
        <v>418</v>
      </c>
      <c r="C76" s="238" t="s">
        <v>18</v>
      </c>
      <c r="D76" s="136">
        <v>170</v>
      </c>
      <c r="E76" s="238"/>
      <c r="F76" s="136"/>
      <c r="G76" s="136"/>
      <c r="H76" s="136"/>
      <c r="I76" s="136">
        <f>D76*G76</f>
        <v>0</v>
      </c>
      <c r="J76" s="136">
        <f>I76</f>
        <v>0</v>
      </c>
      <c r="K76" s="286"/>
    </row>
    <row r="77" spans="1:11" s="287" customFormat="1" x14ac:dyDescent="0.2">
      <c r="A77" s="269">
        <v>67</v>
      </c>
      <c r="B77" s="261" t="s">
        <v>429</v>
      </c>
      <c r="C77" s="238" t="s">
        <v>18</v>
      </c>
      <c r="D77" s="136">
        <v>7.8</v>
      </c>
      <c r="E77" s="238"/>
      <c r="F77" s="136"/>
      <c r="G77" s="136"/>
      <c r="H77" s="136"/>
      <c r="I77" s="136">
        <f>D77*G77</f>
        <v>0</v>
      </c>
      <c r="J77" s="136">
        <f>I77</f>
        <v>0</v>
      </c>
      <c r="K77" s="286"/>
    </row>
    <row r="78" spans="1:11" s="287" customFormat="1" x14ac:dyDescent="0.2">
      <c r="A78" s="269">
        <v>68</v>
      </c>
      <c r="B78" s="261" t="s">
        <v>423</v>
      </c>
      <c r="C78" s="238" t="s">
        <v>371</v>
      </c>
      <c r="D78" s="136">
        <v>0.4</v>
      </c>
      <c r="E78" s="238"/>
      <c r="F78" s="136"/>
      <c r="G78" s="136"/>
      <c r="H78" s="136"/>
      <c r="I78" s="136">
        <f>D78*G78</f>
        <v>0</v>
      </c>
      <c r="J78" s="136">
        <f>I78</f>
        <v>0</v>
      </c>
      <c r="K78" s="286"/>
    </row>
    <row r="79" spans="1:11" s="287" customFormat="1" x14ac:dyDescent="0.2">
      <c r="A79" s="269">
        <v>69</v>
      </c>
      <c r="B79" s="261" t="s">
        <v>431</v>
      </c>
      <c r="C79" s="238" t="s">
        <v>76</v>
      </c>
      <c r="D79" s="136">
        <v>4</v>
      </c>
      <c r="E79" s="238"/>
      <c r="F79" s="136"/>
      <c r="G79" s="136"/>
      <c r="H79" s="136"/>
      <c r="I79" s="136">
        <f>D79*G79</f>
        <v>0</v>
      </c>
      <c r="J79" s="136">
        <f>I79</f>
        <v>0</v>
      </c>
      <c r="K79" s="286"/>
    </row>
    <row r="80" spans="1:11" x14ac:dyDescent="0.25">
      <c r="A80" s="269">
        <v>70</v>
      </c>
      <c r="B80" s="260" t="s">
        <v>480</v>
      </c>
      <c r="C80" s="270" t="s">
        <v>44</v>
      </c>
      <c r="D80" s="84">
        <v>12</v>
      </c>
      <c r="E80" s="270"/>
      <c r="F80" s="84"/>
      <c r="G80" s="84"/>
      <c r="H80" s="84">
        <f>D80*F80</f>
        <v>0</v>
      </c>
      <c r="I80" s="84"/>
      <c r="J80" s="84">
        <f>H80</f>
        <v>0</v>
      </c>
      <c r="K80" s="285"/>
    </row>
    <row r="81" spans="1:11" s="287" customFormat="1" x14ac:dyDescent="0.2">
      <c r="A81" s="269">
        <v>71</v>
      </c>
      <c r="B81" s="261" t="s">
        <v>442</v>
      </c>
      <c r="C81" s="238" t="s">
        <v>44</v>
      </c>
      <c r="D81" s="136">
        <v>4</v>
      </c>
      <c r="E81" s="238"/>
      <c r="F81" s="136"/>
      <c r="G81" s="136"/>
      <c r="H81" s="263"/>
      <c r="I81" s="136">
        <f t="shared" ref="I81:I86" si="8">D81*G81</f>
        <v>0</v>
      </c>
      <c r="J81" s="136">
        <f t="shared" ref="J81:J86" si="9">I81</f>
        <v>0</v>
      </c>
      <c r="K81" s="286"/>
    </row>
    <row r="82" spans="1:11" s="295" customFormat="1" x14ac:dyDescent="0.25">
      <c r="A82" s="269">
        <v>72</v>
      </c>
      <c r="B82" s="261" t="s">
        <v>443</v>
      </c>
      <c r="C82" s="238" t="s">
        <v>44</v>
      </c>
      <c r="D82" s="291">
        <v>3</v>
      </c>
      <c r="E82" s="292"/>
      <c r="F82" s="293"/>
      <c r="G82" s="136"/>
      <c r="H82" s="294"/>
      <c r="I82" s="136">
        <f t="shared" si="8"/>
        <v>0</v>
      </c>
      <c r="J82" s="136">
        <f t="shared" si="9"/>
        <v>0</v>
      </c>
    </row>
    <row r="83" spans="1:11" s="287" customFormat="1" x14ac:dyDescent="0.2">
      <c r="A83" s="269">
        <v>73</v>
      </c>
      <c r="B83" s="261" t="s">
        <v>444</v>
      </c>
      <c r="C83" s="238" t="s">
        <v>44</v>
      </c>
      <c r="D83" s="136">
        <v>4</v>
      </c>
      <c r="E83" s="238"/>
      <c r="F83" s="136"/>
      <c r="G83" s="136"/>
      <c r="H83" s="136"/>
      <c r="I83" s="136">
        <f t="shared" si="8"/>
        <v>0</v>
      </c>
      <c r="J83" s="136">
        <f t="shared" si="9"/>
        <v>0</v>
      </c>
      <c r="K83" s="286"/>
    </row>
    <row r="84" spans="1:11" s="287" customFormat="1" x14ac:dyDescent="0.2">
      <c r="A84" s="269">
        <v>74</v>
      </c>
      <c r="B84" s="261" t="s">
        <v>446</v>
      </c>
      <c r="C84" s="238" t="s">
        <v>44</v>
      </c>
      <c r="D84" s="136">
        <v>1</v>
      </c>
      <c r="E84" s="238"/>
      <c r="F84" s="136"/>
      <c r="G84" s="136"/>
      <c r="H84" s="136"/>
      <c r="I84" s="136">
        <f t="shared" si="8"/>
        <v>0</v>
      </c>
      <c r="J84" s="136">
        <f t="shared" si="9"/>
        <v>0</v>
      </c>
      <c r="K84" s="286"/>
    </row>
    <row r="85" spans="1:11" s="287" customFormat="1" x14ac:dyDescent="0.2">
      <c r="A85" s="269">
        <v>75</v>
      </c>
      <c r="B85" s="261" t="s">
        <v>445</v>
      </c>
      <c r="C85" s="238" t="s">
        <v>44</v>
      </c>
      <c r="D85" s="136">
        <v>3</v>
      </c>
      <c r="E85" s="238"/>
      <c r="F85" s="136"/>
      <c r="G85" s="136"/>
      <c r="H85" s="136"/>
      <c r="I85" s="136">
        <f t="shared" si="8"/>
        <v>0</v>
      </c>
      <c r="J85" s="136">
        <f t="shared" si="9"/>
        <v>0</v>
      </c>
      <c r="K85" s="286"/>
    </row>
    <row r="86" spans="1:11" s="287" customFormat="1" x14ac:dyDescent="0.2">
      <c r="A86" s="269">
        <v>76</v>
      </c>
      <c r="B86" s="261" t="s">
        <v>447</v>
      </c>
      <c r="C86" s="238" t="s">
        <v>376</v>
      </c>
      <c r="D86" s="136">
        <v>2</v>
      </c>
      <c r="E86" s="238"/>
      <c r="F86" s="136"/>
      <c r="G86" s="136"/>
      <c r="H86" s="136"/>
      <c r="I86" s="136">
        <f t="shared" si="8"/>
        <v>0</v>
      </c>
      <c r="J86" s="136">
        <f t="shared" si="9"/>
        <v>0</v>
      </c>
      <c r="K86" s="286"/>
    </row>
    <row r="87" spans="1:11" x14ac:dyDescent="0.25">
      <c r="A87" s="269">
        <v>77</v>
      </c>
      <c r="B87" s="260" t="s">
        <v>501</v>
      </c>
      <c r="C87" s="270" t="s">
        <v>371</v>
      </c>
      <c r="D87" s="84">
        <v>4.7</v>
      </c>
      <c r="E87" s="270"/>
      <c r="F87" s="84"/>
      <c r="G87" s="84"/>
      <c r="H87" s="84">
        <f>D87*F87</f>
        <v>0</v>
      </c>
      <c r="I87" s="84"/>
      <c r="J87" s="84">
        <f>H87</f>
        <v>0</v>
      </c>
      <c r="K87" s="285"/>
    </row>
    <row r="88" spans="1:11" s="287" customFormat="1" x14ac:dyDescent="0.2">
      <c r="A88" s="269">
        <v>78</v>
      </c>
      <c r="B88" s="261" t="s">
        <v>478</v>
      </c>
      <c r="C88" s="238" t="str">
        <f>C87</f>
        <v>м3</v>
      </c>
      <c r="D88" s="136">
        <v>4.9000000000000004</v>
      </c>
      <c r="E88" s="238"/>
      <c r="F88" s="136"/>
      <c r="G88" s="136"/>
      <c r="H88" s="136"/>
      <c r="I88" s="136">
        <f t="shared" ref="I88:I95" si="10">D88*G88</f>
        <v>0</v>
      </c>
      <c r="J88" s="136">
        <f t="shared" ref="J88:J94" si="11">I88</f>
        <v>0</v>
      </c>
      <c r="K88" s="286"/>
    </row>
    <row r="89" spans="1:11" s="287" customFormat="1" x14ac:dyDescent="0.2">
      <c r="A89" s="269">
        <v>79</v>
      </c>
      <c r="B89" s="261" t="s">
        <v>426</v>
      </c>
      <c r="C89" s="238" t="s">
        <v>18</v>
      </c>
      <c r="D89" s="136">
        <v>32</v>
      </c>
      <c r="E89" s="238"/>
      <c r="F89" s="136"/>
      <c r="G89" s="136"/>
      <c r="H89" s="136"/>
      <c r="I89" s="136">
        <f t="shared" si="10"/>
        <v>0</v>
      </c>
      <c r="J89" s="136">
        <f t="shared" si="11"/>
        <v>0</v>
      </c>
      <c r="K89" s="286"/>
    </row>
    <row r="90" spans="1:11" s="287" customFormat="1" x14ac:dyDescent="0.2">
      <c r="A90" s="269">
        <v>80</v>
      </c>
      <c r="B90" s="261" t="s">
        <v>418</v>
      </c>
      <c r="C90" s="238" t="s">
        <v>18</v>
      </c>
      <c r="D90" s="136">
        <v>350</v>
      </c>
      <c r="E90" s="238"/>
      <c r="F90" s="136"/>
      <c r="G90" s="136"/>
      <c r="H90" s="136"/>
      <c r="I90" s="136">
        <f t="shared" si="10"/>
        <v>0</v>
      </c>
      <c r="J90" s="136">
        <f t="shared" si="11"/>
        <v>0</v>
      </c>
      <c r="K90" s="286"/>
    </row>
    <row r="91" spans="1:11" s="287" customFormat="1" x14ac:dyDescent="0.2">
      <c r="A91" s="269">
        <v>81</v>
      </c>
      <c r="B91" s="261" t="s">
        <v>427</v>
      </c>
      <c r="C91" s="238" t="s">
        <v>18</v>
      </c>
      <c r="D91" s="136">
        <v>30</v>
      </c>
      <c r="E91" s="238"/>
      <c r="F91" s="136"/>
      <c r="G91" s="136"/>
      <c r="H91" s="136"/>
      <c r="I91" s="136">
        <f t="shared" si="10"/>
        <v>0</v>
      </c>
      <c r="J91" s="136">
        <f t="shared" si="11"/>
        <v>0</v>
      </c>
      <c r="K91" s="286"/>
    </row>
    <row r="92" spans="1:11" s="287" customFormat="1" x14ac:dyDescent="0.2">
      <c r="A92" s="269">
        <v>82</v>
      </c>
      <c r="B92" s="261" t="s">
        <v>428</v>
      </c>
      <c r="C92" s="238" t="s">
        <v>18</v>
      </c>
      <c r="D92" s="136">
        <v>200</v>
      </c>
      <c r="E92" s="238"/>
      <c r="F92" s="136"/>
      <c r="G92" s="136"/>
      <c r="H92" s="136"/>
      <c r="I92" s="136">
        <f t="shared" si="10"/>
        <v>0</v>
      </c>
      <c r="J92" s="136">
        <f t="shared" si="11"/>
        <v>0</v>
      </c>
      <c r="K92" s="286"/>
    </row>
    <row r="93" spans="1:11" s="287" customFormat="1" x14ac:dyDescent="0.2">
      <c r="A93" s="269">
        <v>83</v>
      </c>
      <c r="B93" s="261" t="s">
        <v>423</v>
      </c>
      <c r="C93" s="238" t="s">
        <v>371</v>
      </c>
      <c r="D93" s="136"/>
      <c r="E93" s="238"/>
      <c r="F93" s="136"/>
      <c r="G93" s="136"/>
      <c r="H93" s="136"/>
      <c r="I93" s="136">
        <f t="shared" si="10"/>
        <v>0</v>
      </c>
      <c r="J93" s="136">
        <f t="shared" si="11"/>
        <v>0</v>
      </c>
      <c r="K93" s="286"/>
    </row>
    <row r="94" spans="1:11" s="287" customFormat="1" x14ac:dyDescent="0.2">
      <c r="A94" s="269">
        <v>84</v>
      </c>
      <c r="B94" s="261" t="s">
        <v>432</v>
      </c>
      <c r="C94" s="238" t="s">
        <v>376</v>
      </c>
      <c r="D94" s="136">
        <v>1</v>
      </c>
      <c r="E94" s="238"/>
      <c r="F94" s="136"/>
      <c r="G94" s="136"/>
      <c r="H94" s="136"/>
      <c r="I94" s="136">
        <f t="shared" si="10"/>
        <v>0</v>
      </c>
      <c r="J94" s="136">
        <f t="shared" si="11"/>
        <v>0</v>
      </c>
      <c r="K94" s="286"/>
    </row>
    <row r="95" spans="1:11" x14ac:dyDescent="0.25">
      <c r="A95" s="269">
        <v>85</v>
      </c>
      <c r="B95" s="261" t="s">
        <v>453</v>
      </c>
      <c r="C95" s="238" t="s">
        <v>76</v>
      </c>
      <c r="D95" s="136">
        <v>33.6</v>
      </c>
      <c r="E95" s="270"/>
      <c r="F95" s="84"/>
      <c r="G95" s="84"/>
      <c r="H95" s="84">
        <f>D95*F95</f>
        <v>0</v>
      </c>
      <c r="I95" s="136">
        <f t="shared" si="10"/>
        <v>0</v>
      </c>
      <c r="J95" s="84">
        <f>H95</f>
        <v>0</v>
      </c>
      <c r="K95" s="285"/>
    </row>
    <row r="96" spans="1:11" x14ac:dyDescent="0.25">
      <c r="A96" s="269">
        <v>86</v>
      </c>
      <c r="B96" s="260" t="s">
        <v>450</v>
      </c>
      <c r="C96" s="270" t="s">
        <v>44</v>
      </c>
      <c r="D96" s="84">
        <v>40</v>
      </c>
      <c r="E96" s="270"/>
      <c r="F96" s="84"/>
      <c r="G96" s="84"/>
      <c r="H96" s="84">
        <f>D96*F96</f>
        <v>0</v>
      </c>
      <c r="I96" s="84"/>
      <c r="J96" s="84">
        <f>H96</f>
        <v>0</v>
      </c>
      <c r="K96" s="285"/>
    </row>
    <row r="97" spans="1:11" s="287" customFormat="1" x14ac:dyDescent="0.2">
      <c r="A97" s="269">
        <v>87</v>
      </c>
      <c r="B97" s="261" t="s">
        <v>418</v>
      </c>
      <c r="C97" s="238" t="s">
        <v>18</v>
      </c>
      <c r="D97" s="136">
        <v>12.6</v>
      </c>
      <c r="E97" s="238"/>
      <c r="F97" s="136"/>
      <c r="G97" s="136"/>
      <c r="H97" s="136"/>
      <c r="I97" s="136">
        <f>D97*G97</f>
        <v>0</v>
      </c>
      <c r="J97" s="136">
        <f t="shared" ref="J97" si="12">I97</f>
        <v>0</v>
      </c>
      <c r="K97" s="286"/>
    </row>
    <row r="98" spans="1:11" ht="30" x14ac:dyDescent="0.25">
      <c r="A98" s="269">
        <v>88</v>
      </c>
      <c r="B98" s="260" t="s">
        <v>369</v>
      </c>
      <c r="C98" s="270" t="s">
        <v>76</v>
      </c>
      <c r="D98" s="84">
        <v>20.944000000000003</v>
      </c>
      <c r="E98" s="270"/>
      <c r="F98" s="84"/>
      <c r="G98" s="84"/>
      <c r="H98" s="84">
        <f>D98*F98</f>
        <v>0</v>
      </c>
      <c r="I98" s="84"/>
      <c r="J98" s="84">
        <f>H98</f>
        <v>0</v>
      </c>
      <c r="K98" s="285"/>
    </row>
    <row r="99" spans="1:11" s="287" customFormat="1" x14ac:dyDescent="0.2">
      <c r="A99" s="269">
        <v>89</v>
      </c>
      <c r="B99" s="261" t="s">
        <v>370</v>
      </c>
      <c r="C99" s="238" t="s">
        <v>76</v>
      </c>
      <c r="D99" s="289">
        <v>20.944000000000003</v>
      </c>
      <c r="E99" s="238"/>
      <c r="F99" s="136"/>
      <c r="G99" s="136"/>
      <c r="H99" s="136"/>
      <c r="I99" s="136">
        <f>D99*G99</f>
        <v>0</v>
      </c>
      <c r="J99" s="136">
        <f>I99</f>
        <v>0</v>
      </c>
      <c r="K99" s="286"/>
    </row>
    <row r="100" spans="1:11" x14ac:dyDescent="0.25">
      <c r="A100" s="269">
        <v>90</v>
      </c>
      <c r="B100" s="260" t="s">
        <v>484</v>
      </c>
      <c r="C100" s="270" t="s">
        <v>76</v>
      </c>
      <c r="D100" s="84">
        <v>106</v>
      </c>
      <c r="E100" s="270"/>
      <c r="F100" s="84"/>
      <c r="G100" s="84"/>
      <c r="H100" s="84">
        <f>D100*F100</f>
        <v>0</v>
      </c>
      <c r="I100" s="84"/>
      <c r="J100" s="84">
        <f>H100</f>
        <v>0</v>
      </c>
      <c r="K100" s="285"/>
    </row>
    <row r="101" spans="1:11" s="287" customFormat="1" x14ac:dyDescent="0.2">
      <c r="A101" s="269">
        <v>91</v>
      </c>
      <c r="B101" s="261" t="s">
        <v>454</v>
      </c>
      <c r="C101" s="238" t="s">
        <v>371</v>
      </c>
      <c r="D101" s="289">
        <v>3.6</v>
      </c>
      <c r="E101" s="238"/>
      <c r="F101" s="136"/>
      <c r="G101" s="136"/>
      <c r="H101" s="136"/>
      <c r="I101" s="136">
        <f>D101*G101</f>
        <v>0</v>
      </c>
      <c r="J101" s="136">
        <f t="shared" ref="J101:J105" si="13">I101</f>
        <v>0</v>
      </c>
      <c r="K101" s="286"/>
    </row>
    <row r="102" spans="1:11" s="287" customFormat="1" x14ac:dyDescent="0.2">
      <c r="A102" s="269">
        <v>92</v>
      </c>
      <c r="B102" s="261" t="s">
        <v>455</v>
      </c>
      <c r="C102" s="238" t="s">
        <v>371</v>
      </c>
      <c r="D102" s="289">
        <v>0.2</v>
      </c>
      <c r="E102" s="238"/>
      <c r="F102" s="136"/>
      <c r="G102" s="136"/>
      <c r="H102" s="136"/>
      <c r="I102" s="136">
        <f>D102*G102</f>
        <v>0</v>
      </c>
      <c r="J102" s="136">
        <f t="shared" si="13"/>
        <v>0</v>
      </c>
      <c r="K102" s="286"/>
    </row>
    <row r="103" spans="1:11" s="287" customFormat="1" x14ac:dyDescent="0.2">
      <c r="A103" s="269">
        <v>93</v>
      </c>
      <c r="B103" s="261" t="s">
        <v>456</v>
      </c>
      <c r="C103" s="238" t="s">
        <v>371</v>
      </c>
      <c r="D103" s="289">
        <v>9.7500000000000003E-2</v>
      </c>
      <c r="E103" s="238"/>
      <c r="F103" s="136"/>
      <c r="G103" s="136"/>
      <c r="H103" s="136"/>
      <c r="I103" s="136">
        <f>D103*G103</f>
        <v>0</v>
      </c>
      <c r="J103" s="136">
        <f t="shared" si="13"/>
        <v>0</v>
      </c>
      <c r="K103" s="286"/>
    </row>
    <row r="104" spans="1:11" s="287" customFormat="1" x14ac:dyDescent="0.2">
      <c r="A104" s="269">
        <v>94</v>
      </c>
      <c r="B104" s="261" t="s">
        <v>457</v>
      </c>
      <c r="C104" s="238" t="s">
        <v>371</v>
      </c>
      <c r="D104" s="289">
        <v>6.0000000000000012E-2</v>
      </c>
      <c r="E104" s="238"/>
      <c r="F104" s="136"/>
      <c r="G104" s="136"/>
      <c r="H104" s="136"/>
      <c r="I104" s="136">
        <f>D104*G104</f>
        <v>0</v>
      </c>
      <c r="J104" s="136">
        <f t="shared" si="13"/>
        <v>0</v>
      </c>
      <c r="K104" s="286"/>
    </row>
    <row r="105" spans="1:11" s="287" customFormat="1" x14ac:dyDescent="0.2">
      <c r="A105" s="269">
        <v>95</v>
      </c>
      <c r="B105" s="261" t="s">
        <v>460</v>
      </c>
      <c r="C105" s="238" t="s">
        <v>19</v>
      </c>
      <c r="D105" s="289">
        <v>3</v>
      </c>
      <c r="E105" s="238"/>
      <c r="F105" s="136"/>
      <c r="G105" s="136"/>
      <c r="H105" s="136"/>
      <c r="I105" s="136">
        <f>D105*G105</f>
        <v>0</v>
      </c>
      <c r="J105" s="136">
        <f t="shared" si="13"/>
        <v>0</v>
      </c>
      <c r="K105" s="286"/>
    </row>
    <row r="106" spans="1:11" x14ac:dyDescent="0.25">
      <c r="A106" s="269">
        <v>96</v>
      </c>
      <c r="B106" s="260" t="s">
        <v>451</v>
      </c>
      <c r="C106" s="270" t="s">
        <v>18</v>
      </c>
      <c r="D106" s="270">
        <v>43.639999999999993</v>
      </c>
      <c r="E106" s="270"/>
      <c r="F106" s="84"/>
      <c r="G106" s="84"/>
      <c r="H106" s="84">
        <f>D106*F106</f>
        <v>0</v>
      </c>
      <c r="I106" s="84"/>
      <c r="J106" s="84">
        <f>H106</f>
        <v>0</v>
      </c>
      <c r="K106" s="285"/>
    </row>
    <row r="107" spans="1:11" s="287" customFormat="1" x14ac:dyDescent="0.2">
      <c r="A107" s="269">
        <v>97</v>
      </c>
      <c r="B107" s="261" t="s">
        <v>452</v>
      </c>
      <c r="C107" s="238" t="s">
        <v>371</v>
      </c>
      <c r="D107" s="136">
        <v>0.65459999999999996</v>
      </c>
      <c r="E107" s="238"/>
      <c r="F107" s="136"/>
      <c r="G107" s="136"/>
      <c r="H107" s="136"/>
      <c r="I107" s="136">
        <f>D107*G107</f>
        <v>0</v>
      </c>
      <c r="J107" s="136">
        <f>I107</f>
        <v>0</v>
      </c>
      <c r="K107" s="286"/>
    </row>
    <row r="108" spans="1:11" ht="30" x14ac:dyDescent="0.25">
      <c r="A108" s="269">
        <v>98</v>
      </c>
      <c r="B108" s="260" t="s">
        <v>440</v>
      </c>
      <c r="C108" s="270" t="s">
        <v>44</v>
      </c>
      <c r="D108" s="84">
        <v>6</v>
      </c>
      <c r="E108" s="270"/>
      <c r="F108" s="84"/>
      <c r="G108" s="84"/>
      <c r="H108" s="84">
        <f>D108*F108</f>
        <v>0</v>
      </c>
      <c r="I108" s="84"/>
      <c r="J108" s="84">
        <f>H108</f>
        <v>0</v>
      </c>
      <c r="K108" s="285"/>
    </row>
    <row r="109" spans="1:11" s="287" customFormat="1" x14ac:dyDescent="0.2">
      <c r="A109" s="269">
        <v>99</v>
      </c>
      <c r="B109" s="261" t="s">
        <v>441</v>
      </c>
      <c r="C109" s="238" t="s">
        <v>44</v>
      </c>
      <c r="D109" s="238">
        <v>6</v>
      </c>
      <c r="E109" s="238"/>
      <c r="F109" s="136"/>
      <c r="G109" s="136"/>
      <c r="H109" s="136"/>
      <c r="I109" s="136">
        <f>D109*G109</f>
        <v>0</v>
      </c>
      <c r="J109" s="136">
        <f>I109</f>
        <v>0</v>
      </c>
      <c r="K109" s="286"/>
    </row>
    <row r="110" spans="1:11" ht="30" x14ac:dyDescent="0.25">
      <c r="A110" s="269">
        <v>100</v>
      </c>
      <c r="B110" s="260" t="s">
        <v>483</v>
      </c>
      <c r="C110" s="270" t="s">
        <v>76</v>
      </c>
      <c r="D110" s="84">
        <v>45</v>
      </c>
      <c r="E110" s="270"/>
      <c r="F110" s="84"/>
      <c r="G110" s="84"/>
      <c r="H110" s="84">
        <f>D110*F110</f>
        <v>0</v>
      </c>
      <c r="I110" s="84"/>
      <c r="J110" s="84">
        <f>H110</f>
        <v>0</v>
      </c>
      <c r="K110" s="285"/>
    </row>
    <row r="111" spans="1:11" s="287" customFormat="1" x14ac:dyDescent="0.2">
      <c r="A111" s="269">
        <v>101</v>
      </c>
      <c r="B111" s="261" t="s">
        <v>468</v>
      </c>
      <c r="C111" s="238" t="s">
        <v>371</v>
      </c>
      <c r="D111" s="289">
        <v>0.60000000000000009</v>
      </c>
      <c r="E111" s="238"/>
      <c r="F111" s="136"/>
      <c r="G111" s="136"/>
      <c r="H111" s="136"/>
      <c r="I111" s="136">
        <f t="shared" ref="I111:I116" si="14">D111*G111</f>
        <v>0</v>
      </c>
      <c r="J111" s="136">
        <f t="shared" ref="J111:J116" si="15">I111</f>
        <v>0</v>
      </c>
      <c r="K111" s="286"/>
    </row>
    <row r="112" spans="1:11" s="287" customFormat="1" x14ac:dyDescent="0.2">
      <c r="A112" s="269">
        <v>102</v>
      </c>
      <c r="B112" s="261" t="s">
        <v>469</v>
      </c>
      <c r="C112" s="238" t="s">
        <v>371</v>
      </c>
      <c r="D112" s="289">
        <v>0.1575</v>
      </c>
      <c r="E112" s="238"/>
      <c r="F112" s="136"/>
      <c r="G112" s="136"/>
      <c r="H112" s="136"/>
      <c r="I112" s="136">
        <f t="shared" si="14"/>
        <v>0</v>
      </c>
      <c r="J112" s="136">
        <f t="shared" si="15"/>
        <v>0</v>
      </c>
      <c r="K112" s="286"/>
    </row>
    <row r="113" spans="1:11" s="287" customFormat="1" x14ac:dyDescent="0.2">
      <c r="A113" s="269">
        <v>103</v>
      </c>
      <c r="B113" s="261" t="s">
        <v>457</v>
      </c>
      <c r="C113" s="238" t="s">
        <v>371</v>
      </c>
      <c r="D113" s="289">
        <v>0.55500000000000005</v>
      </c>
      <c r="E113" s="238"/>
      <c r="F113" s="136"/>
      <c r="G113" s="136"/>
      <c r="H113" s="136"/>
      <c r="I113" s="136">
        <f t="shared" si="14"/>
        <v>0</v>
      </c>
      <c r="J113" s="136">
        <f t="shared" si="15"/>
        <v>0</v>
      </c>
      <c r="K113" s="286"/>
    </row>
    <row r="114" spans="1:11" s="287" customFormat="1" x14ac:dyDescent="0.2">
      <c r="A114" s="269">
        <v>104</v>
      </c>
      <c r="B114" s="261" t="s">
        <v>455</v>
      </c>
      <c r="C114" s="238" t="s">
        <v>371</v>
      </c>
      <c r="D114" s="289">
        <v>0.54</v>
      </c>
      <c r="E114" s="238"/>
      <c r="F114" s="136"/>
      <c r="G114" s="136"/>
      <c r="H114" s="136"/>
      <c r="I114" s="136">
        <f t="shared" si="14"/>
        <v>0</v>
      </c>
      <c r="J114" s="136">
        <f t="shared" si="15"/>
        <v>0</v>
      </c>
      <c r="K114" s="286"/>
    </row>
    <row r="115" spans="1:11" s="287" customFormat="1" x14ac:dyDescent="0.2">
      <c r="A115" s="269">
        <v>105</v>
      </c>
      <c r="B115" s="261" t="s">
        <v>460</v>
      </c>
      <c r="C115" s="238" t="s">
        <v>19</v>
      </c>
      <c r="D115" s="289"/>
      <c r="E115" s="238"/>
      <c r="F115" s="136"/>
      <c r="G115" s="136"/>
      <c r="H115" s="136"/>
      <c r="I115" s="136">
        <f t="shared" si="14"/>
        <v>0</v>
      </c>
      <c r="J115" s="136">
        <f t="shared" si="15"/>
        <v>0</v>
      </c>
      <c r="K115" s="286"/>
    </row>
    <row r="116" spans="1:11" s="287" customFormat="1" x14ac:dyDescent="0.2">
      <c r="A116" s="269">
        <v>106</v>
      </c>
      <c r="B116" s="261" t="s">
        <v>470</v>
      </c>
      <c r="C116" s="238" t="s">
        <v>44</v>
      </c>
      <c r="D116" s="238">
        <v>1</v>
      </c>
      <c r="E116" s="238"/>
      <c r="F116" s="136"/>
      <c r="G116" s="264"/>
      <c r="H116" s="136"/>
      <c r="I116" s="136">
        <f t="shared" si="14"/>
        <v>0</v>
      </c>
      <c r="J116" s="136">
        <f t="shared" si="15"/>
        <v>0</v>
      </c>
      <c r="K116" s="286"/>
    </row>
    <row r="117" spans="1:11" x14ac:dyDescent="0.25">
      <c r="A117" s="269">
        <v>107</v>
      </c>
      <c r="B117" s="260" t="s">
        <v>482</v>
      </c>
      <c r="C117" s="270" t="s">
        <v>76</v>
      </c>
      <c r="D117" s="84">
        <v>192</v>
      </c>
      <c r="E117" s="270"/>
      <c r="F117" s="84"/>
      <c r="G117" s="84"/>
      <c r="H117" s="84">
        <f>D117*F117</f>
        <v>0</v>
      </c>
      <c r="I117" s="84"/>
      <c r="J117" s="84">
        <f>H117</f>
        <v>0</v>
      </c>
      <c r="K117" s="285"/>
    </row>
    <row r="118" spans="1:11" s="287" customFormat="1" x14ac:dyDescent="0.2">
      <c r="A118" s="269">
        <v>108</v>
      </c>
      <c r="B118" s="261" t="s">
        <v>463</v>
      </c>
      <c r="C118" s="238" t="s">
        <v>371</v>
      </c>
      <c r="D118" s="136">
        <v>3</v>
      </c>
      <c r="E118" s="238"/>
      <c r="F118" s="136"/>
      <c r="G118" s="136"/>
      <c r="H118" s="136"/>
      <c r="I118" s="136">
        <f>D118*G118</f>
        <v>0</v>
      </c>
      <c r="J118" s="136">
        <f>I118</f>
        <v>0</v>
      </c>
      <c r="K118" s="286"/>
    </row>
    <row r="119" spans="1:11" s="287" customFormat="1" x14ac:dyDescent="0.2">
      <c r="A119" s="269">
        <v>109</v>
      </c>
      <c r="B119" s="261" t="s">
        <v>471</v>
      </c>
      <c r="C119" s="238" t="s">
        <v>371</v>
      </c>
      <c r="D119" s="136">
        <v>2</v>
      </c>
      <c r="E119" s="238"/>
      <c r="F119" s="136"/>
      <c r="G119" s="136"/>
      <c r="H119" s="136"/>
      <c r="I119" s="136">
        <f>D119*G119</f>
        <v>0</v>
      </c>
      <c r="J119" s="136">
        <f>I119</f>
        <v>0</v>
      </c>
      <c r="K119" s="286"/>
    </row>
    <row r="120" spans="1:11" s="287" customFormat="1" x14ac:dyDescent="0.2">
      <c r="A120" s="269">
        <v>110</v>
      </c>
      <c r="B120" s="261" t="s">
        <v>460</v>
      </c>
      <c r="C120" s="238" t="s">
        <v>19</v>
      </c>
      <c r="D120" s="289">
        <v>5</v>
      </c>
      <c r="E120" s="238"/>
      <c r="F120" s="136"/>
      <c r="G120" s="136"/>
      <c r="H120" s="136"/>
      <c r="I120" s="136">
        <f>D120*G120</f>
        <v>0</v>
      </c>
      <c r="J120" s="136">
        <f>I120</f>
        <v>0</v>
      </c>
      <c r="K120" s="286"/>
    </row>
    <row r="121" spans="1:11" s="287" customFormat="1" x14ac:dyDescent="0.2">
      <c r="A121" s="269">
        <v>111</v>
      </c>
      <c r="B121" s="261" t="s">
        <v>458</v>
      </c>
      <c r="C121" s="238" t="s">
        <v>459</v>
      </c>
      <c r="D121" s="289">
        <v>1</v>
      </c>
      <c r="E121" s="238"/>
      <c r="F121" s="136"/>
      <c r="G121" s="136"/>
      <c r="H121" s="136"/>
      <c r="I121" s="136">
        <f>D121*G121</f>
        <v>0</v>
      </c>
      <c r="J121" s="136">
        <f>I121</f>
        <v>0</v>
      </c>
      <c r="K121" s="286"/>
    </row>
    <row r="122" spans="1:11" x14ac:dyDescent="0.25">
      <c r="A122" s="269">
        <v>112</v>
      </c>
      <c r="B122" s="260" t="s">
        <v>485</v>
      </c>
      <c r="C122" s="270" t="s">
        <v>76</v>
      </c>
      <c r="D122" s="84">
        <v>178.553</v>
      </c>
      <c r="E122" s="270"/>
      <c r="F122" s="84"/>
      <c r="G122" s="84"/>
      <c r="H122" s="84">
        <f>D122*F122</f>
        <v>0</v>
      </c>
      <c r="I122" s="84"/>
      <c r="J122" s="84">
        <f>H122</f>
        <v>0</v>
      </c>
      <c r="K122" s="285"/>
    </row>
    <row r="123" spans="1:11" s="287" customFormat="1" x14ac:dyDescent="0.2">
      <c r="A123" s="269">
        <v>113</v>
      </c>
      <c r="B123" s="261" t="s">
        <v>463</v>
      </c>
      <c r="C123" s="238" t="s">
        <v>371</v>
      </c>
      <c r="D123" s="238">
        <v>2.3000000000000003</v>
      </c>
      <c r="E123" s="238"/>
      <c r="F123" s="136"/>
      <c r="G123" s="136"/>
      <c r="H123" s="136"/>
      <c r="I123" s="136">
        <f>D123*G123</f>
        <v>0</v>
      </c>
      <c r="J123" s="136">
        <f>I123</f>
        <v>0</v>
      </c>
      <c r="K123" s="286"/>
    </row>
    <row r="124" spans="1:11" s="287" customFormat="1" x14ac:dyDescent="0.2">
      <c r="A124" s="269">
        <v>114</v>
      </c>
      <c r="B124" s="261" t="s">
        <v>464</v>
      </c>
      <c r="C124" s="238" t="s">
        <v>371</v>
      </c>
      <c r="D124" s="238">
        <v>1.5</v>
      </c>
      <c r="E124" s="238"/>
      <c r="F124" s="136"/>
      <c r="G124" s="136"/>
      <c r="H124" s="136"/>
      <c r="I124" s="136">
        <f>D124*G124</f>
        <v>0</v>
      </c>
      <c r="J124" s="136">
        <f>I124</f>
        <v>0</v>
      </c>
      <c r="K124" s="286"/>
    </row>
    <row r="125" spans="1:11" s="287" customFormat="1" x14ac:dyDescent="0.2">
      <c r="A125" s="269">
        <v>115</v>
      </c>
      <c r="B125" s="261" t="s">
        <v>460</v>
      </c>
      <c r="C125" s="238" t="s">
        <v>19</v>
      </c>
      <c r="D125" s="289"/>
      <c r="E125" s="238"/>
      <c r="F125" s="136"/>
      <c r="G125" s="136"/>
      <c r="H125" s="136"/>
      <c r="I125" s="136">
        <f>D125*G125</f>
        <v>0</v>
      </c>
      <c r="J125" s="136">
        <f>I125</f>
        <v>0</v>
      </c>
      <c r="K125" s="286"/>
    </row>
    <row r="126" spans="1:11" s="287" customFormat="1" x14ac:dyDescent="0.2">
      <c r="A126" s="269">
        <v>116</v>
      </c>
      <c r="B126" s="261" t="s">
        <v>458</v>
      </c>
      <c r="C126" s="238" t="s">
        <v>459</v>
      </c>
      <c r="D126" s="289">
        <v>1</v>
      </c>
      <c r="E126" s="238"/>
      <c r="F126" s="136"/>
      <c r="G126" s="136"/>
      <c r="H126" s="136"/>
      <c r="I126" s="136">
        <f>D126*G126</f>
        <v>0</v>
      </c>
      <c r="J126" s="136">
        <f>I126</f>
        <v>0</v>
      </c>
      <c r="K126" s="286"/>
    </row>
    <row r="127" spans="1:11" x14ac:dyDescent="0.25">
      <c r="A127" s="269">
        <v>117</v>
      </c>
      <c r="B127" s="260" t="s">
        <v>466</v>
      </c>
      <c r="C127" s="270" t="s">
        <v>76</v>
      </c>
      <c r="D127" s="84">
        <v>371</v>
      </c>
      <c r="E127" s="270"/>
      <c r="F127" s="84"/>
      <c r="G127" s="84"/>
      <c r="H127" s="84">
        <f>D127*F127</f>
        <v>0</v>
      </c>
      <c r="I127" s="84"/>
      <c r="J127" s="84">
        <f>H127</f>
        <v>0</v>
      </c>
      <c r="K127" s="285"/>
    </row>
    <row r="128" spans="1:11" x14ac:dyDescent="0.25">
      <c r="A128" s="269">
        <v>118</v>
      </c>
      <c r="B128" s="260" t="s">
        <v>465</v>
      </c>
      <c r="C128" s="270" t="s">
        <v>76</v>
      </c>
      <c r="D128" s="84">
        <v>371</v>
      </c>
      <c r="E128" s="270"/>
      <c r="F128" s="84"/>
      <c r="G128" s="84"/>
      <c r="H128" s="84">
        <f>D128*F128</f>
        <v>0</v>
      </c>
      <c r="I128" s="84"/>
      <c r="J128" s="84">
        <f>H128</f>
        <v>0</v>
      </c>
      <c r="K128" s="285"/>
    </row>
    <row r="129" spans="1:11" s="287" customFormat="1" x14ac:dyDescent="0.2">
      <c r="A129" s="269">
        <v>119</v>
      </c>
      <c r="B129" s="261" t="s">
        <v>486</v>
      </c>
      <c r="C129" s="238" t="s">
        <v>76</v>
      </c>
      <c r="D129" s="289">
        <v>389.6</v>
      </c>
      <c r="E129" s="238"/>
      <c r="F129" s="136"/>
      <c r="G129" s="136"/>
      <c r="H129" s="136"/>
      <c r="I129" s="136">
        <f>D129*G129</f>
        <v>0</v>
      </c>
      <c r="J129" s="136">
        <f>I129</f>
        <v>0</v>
      </c>
      <c r="K129" s="286"/>
    </row>
    <row r="130" spans="1:11" s="287" customFormat="1" x14ac:dyDescent="0.2">
      <c r="A130" s="269">
        <v>120</v>
      </c>
      <c r="B130" s="260" t="s">
        <v>462</v>
      </c>
      <c r="C130" s="270" t="s">
        <v>76</v>
      </c>
      <c r="D130" s="84">
        <v>371</v>
      </c>
      <c r="E130" s="270"/>
      <c r="F130" s="84"/>
      <c r="G130" s="84"/>
      <c r="H130" s="84">
        <f>D130*F130</f>
        <v>0</v>
      </c>
      <c r="I130" s="84"/>
      <c r="J130" s="84">
        <f>H130</f>
        <v>0</v>
      </c>
      <c r="K130" s="286"/>
    </row>
    <row r="131" spans="1:11" s="287" customFormat="1" x14ac:dyDescent="0.2">
      <c r="A131" s="269">
        <v>121</v>
      </c>
      <c r="B131" s="261" t="s">
        <v>463</v>
      </c>
      <c r="C131" s="238" t="s">
        <v>371</v>
      </c>
      <c r="D131" s="238">
        <v>1.5</v>
      </c>
      <c r="E131" s="238"/>
      <c r="F131" s="136"/>
      <c r="G131" s="136"/>
      <c r="H131" s="136"/>
      <c r="I131" s="136">
        <f>D131*G131</f>
        <v>0</v>
      </c>
      <c r="J131" s="136">
        <f>I131</f>
        <v>0</v>
      </c>
      <c r="K131" s="286"/>
    </row>
    <row r="132" spans="1:11" s="287" customFormat="1" x14ac:dyDescent="0.2">
      <c r="A132" s="269">
        <v>122</v>
      </c>
      <c r="B132" s="261" t="s">
        <v>493</v>
      </c>
      <c r="C132" s="238" t="s">
        <v>371</v>
      </c>
      <c r="D132" s="238">
        <v>2</v>
      </c>
      <c r="E132" s="238"/>
      <c r="F132" s="136"/>
      <c r="G132" s="136"/>
      <c r="H132" s="136"/>
      <c r="I132" s="136">
        <f t="shared" ref="I132:I134" si="16">D132*G132</f>
        <v>0</v>
      </c>
      <c r="J132" s="136">
        <f t="shared" ref="J132:J134" si="17">I132</f>
        <v>0</v>
      </c>
      <c r="K132" s="286"/>
    </row>
    <row r="133" spans="1:11" s="287" customFormat="1" x14ac:dyDescent="0.2">
      <c r="A133" s="269">
        <v>123</v>
      </c>
      <c r="B133" s="261" t="s">
        <v>492</v>
      </c>
      <c r="C133" s="238" t="s">
        <v>371</v>
      </c>
      <c r="D133" s="238">
        <v>6.5</v>
      </c>
      <c r="E133" s="238"/>
      <c r="F133" s="136"/>
      <c r="G133" s="136"/>
      <c r="H133" s="136"/>
      <c r="I133" s="136">
        <f t="shared" si="16"/>
        <v>0</v>
      </c>
      <c r="J133" s="136">
        <f t="shared" si="17"/>
        <v>0</v>
      </c>
      <c r="K133" s="286"/>
    </row>
    <row r="134" spans="1:11" s="287" customFormat="1" x14ac:dyDescent="0.2">
      <c r="A134" s="269">
        <v>124</v>
      </c>
      <c r="B134" s="261" t="s">
        <v>494</v>
      </c>
      <c r="C134" s="238" t="s">
        <v>371</v>
      </c>
      <c r="D134" s="238">
        <v>0.2</v>
      </c>
      <c r="E134" s="238"/>
      <c r="F134" s="136"/>
      <c r="G134" s="136"/>
      <c r="H134" s="136"/>
      <c r="I134" s="136">
        <f t="shared" si="16"/>
        <v>0</v>
      </c>
      <c r="J134" s="136">
        <f t="shared" si="17"/>
        <v>0</v>
      </c>
      <c r="K134" s="286"/>
    </row>
    <row r="135" spans="1:11" ht="32.25" customHeight="1" x14ac:dyDescent="0.25">
      <c r="A135" s="269">
        <v>125</v>
      </c>
      <c r="B135" s="260" t="s">
        <v>475</v>
      </c>
      <c r="C135" s="270" t="s">
        <v>76</v>
      </c>
      <c r="D135" s="84">
        <v>58.5</v>
      </c>
      <c r="E135" s="270"/>
      <c r="F135" s="84"/>
      <c r="G135" s="84"/>
      <c r="H135" s="84">
        <f>D135*F135</f>
        <v>0</v>
      </c>
      <c r="I135" s="84"/>
      <c r="J135" s="84">
        <f>H135</f>
        <v>0</v>
      </c>
      <c r="K135" s="285"/>
    </row>
    <row r="136" spans="1:11" s="287" customFormat="1" x14ac:dyDescent="0.2">
      <c r="A136" s="269">
        <v>126</v>
      </c>
      <c r="B136" s="261" t="s">
        <v>456</v>
      </c>
      <c r="C136" s="238" t="s">
        <v>371</v>
      </c>
      <c r="D136" s="289">
        <v>0.1</v>
      </c>
      <c r="E136" s="238"/>
      <c r="F136" s="136"/>
      <c r="G136" s="136"/>
      <c r="H136" s="136"/>
      <c r="I136" s="136">
        <f>D136*G136</f>
        <v>0</v>
      </c>
      <c r="J136" s="136">
        <f>I136</f>
        <v>0</v>
      </c>
      <c r="K136" s="286"/>
    </row>
    <row r="137" spans="1:11" s="287" customFormat="1" x14ac:dyDescent="0.2">
      <c r="A137" s="269">
        <v>127</v>
      </c>
      <c r="B137" s="261" t="s">
        <v>461</v>
      </c>
      <c r="C137" s="238" t="s">
        <v>371</v>
      </c>
      <c r="D137" s="289">
        <v>0.18</v>
      </c>
      <c r="E137" s="238"/>
      <c r="F137" s="136"/>
      <c r="G137" s="136"/>
      <c r="H137" s="136"/>
      <c r="I137" s="136">
        <f>D137*G137</f>
        <v>0</v>
      </c>
      <c r="J137" s="136">
        <f>I137</f>
        <v>0</v>
      </c>
      <c r="K137" s="286"/>
    </row>
    <row r="138" spans="1:11" s="287" customFormat="1" x14ac:dyDescent="0.2">
      <c r="A138" s="269">
        <v>128</v>
      </c>
      <c r="B138" s="261" t="s">
        <v>486</v>
      </c>
      <c r="C138" s="238" t="s">
        <v>76</v>
      </c>
      <c r="D138" s="289">
        <v>61.42</v>
      </c>
      <c r="E138" s="238"/>
      <c r="F138" s="136"/>
      <c r="G138" s="136"/>
      <c r="H138" s="136"/>
      <c r="I138" s="136">
        <f>D138*G138</f>
        <v>0</v>
      </c>
      <c r="J138" s="136">
        <f>I138</f>
        <v>0</v>
      </c>
      <c r="K138" s="286"/>
    </row>
    <row r="139" spans="1:11" s="287" customFormat="1" x14ac:dyDescent="0.2">
      <c r="A139" s="269">
        <v>129</v>
      </c>
      <c r="B139" s="261" t="s">
        <v>487</v>
      </c>
      <c r="C139" s="238" t="s">
        <v>76</v>
      </c>
      <c r="D139" s="289">
        <v>61.42</v>
      </c>
      <c r="E139" s="238"/>
      <c r="F139" s="136"/>
      <c r="G139" s="136"/>
      <c r="H139" s="136"/>
      <c r="I139" s="136">
        <f>D139*G139</f>
        <v>0</v>
      </c>
      <c r="J139" s="136">
        <f>I139</f>
        <v>0</v>
      </c>
      <c r="K139" s="286"/>
    </row>
    <row r="140" spans="1:11" s="287" customFormat="1" x14ac:dyDescent="0.2">
      <c r="A140" s="269">
        <v>130</v>
      </c>
      <c r="B140" s="261" t="s">
        <v>488</v>
      </c>
      <c r="C140" s="238" t="s">
        <v>371</v>
      </c>
      <c r="D140" s="289">
        <v>12.3</v>
      </c>
      <c r="E140" s="238"/>
      <c r="F140" s="136"/>
      <c r="G140" s="136"/>
      <c r="H140" s="136"/>
      <c r="I140" s="136">
        <f>D140*G140</f>
        <v>0</v>
      </c>
      <c r="J140" s="136">
        <f>I140</f>
        <v>0</v>
      </c>
      <c r="K140" s="286"/>
    </row>
    <row r="141" spans="1:11" ht="30" x14ac:dyDescent="0.25">
      <c r="A141" s="269">
        <v>131</v>
      </c>
      <c r="B141" s="260" t="s">
        <v>489</v>
      </c>
      <c r="C141" s="270" t="s">
        <v>76</v>
      </c>
      <c r="D141" s="84">
        <v>106</v>
      </c>
      <c r="E141" s="270"/>
      <c r="F141" s="84"/>
      <c r="G141" s="84"/>
      <c r="H141" s="84">
        <f>D141*F141</f>
        <v>0</v>
      </c>
      <c r="I141" s="84"/>
      <c r="J141" s="84">
        <f>H141</f>
        <v>0</v>
      </c>
      <c r="K141" s="285"/>
    </row>
    <row r="142" spans="1:11" s="287" customFormat="1" x14ac:dyDescent="0.2">
      <c r="A142" s="269">
        <v>132</v>
      </c>
      <c r="B142" s="261" t="s">
        <v>456</v>
      </c>
      <c r="C142" s="238" t="s">
        <v>371</v>
      </c>
      <c r="D142" s="289"/>
      <c r="E142" s="238"/>
      <c r="F142" s="136"/>
      <c r="G142" s="136"/>
      <c r="H142" s="136"/>
      <c r="I142" s="136">
        <f>D142*G142</f>
        <v>0</v>
      </c>
      <c r="J142" s="136">
        <f>I142</f>
        <v>0</v>
      </c>
      <c r="K142" s="286"/>
    </row>
    <row r="143" spans="1:11" s="287" customFormat="1" x14ac:dyDescent="0.2">
      <c r="A143" s="269">
        <v>133</v>
      </c>
      <c r="B143" s="261" t="s">
        <v>461</v>
      </c>
      <c r="C143" s="238" t="s">
        <v>371</v>
      </c>
      <c r="D143" s="289"/>
      <c r="E143" s="238"/>
      <c r="F143" s="136"/>
      <c r="G143" s="136"/>
      <c r="H143" s="136"/>
      <c r="I143" s="136">
        <f>D143*G143</f>
        <v>0</v>
      </c>
      <c r="J143" s="136">
        <f>I143</f>
        <v>0</v>
      </c>
      <c r="K143" s="286"/>
    </row>
    <row r="144" spans="1:11" s="287" customFormat="1" x14ac:dyDescent="0.2">
      <c r="A144" s="269">
        <v>134</v>
      </c>
      <c r="B144" s="261" t="s">
        <v>486</v>
      </c>
      <c r="C144" s="238" t="s">
        <v>76</v>
      </c>
      <c r="D144" s="289">
        <v>111.3</v>
      </c>
      <c r="E144" s="238"/>
      <c r="F144" s="136"/>
      <c r="G144" s="136"/>
      <c r="H144" s="136"/>
      <c r="I144" s="136">
        <f>D144*G144</f>
        <v>0</v>
      </c>
      <c r="J144" s="136">
        <f>I144</f>
        <v>0</v>
      </c>
      <c r="K144" s="286"/>
    </row>
    <row r="145" spans="1:24" s="287" customFormat="1" x14ac:dyDescent="0.2">
      <c r="A145" s="269">
        <v>135</v>
      </c>
      <c r="B145" s="261" t="s">
        <v>487</v>
      </c>
      <c r="C145" s="238" t="s">
        <v>76</v>
      </c>
      <c r="D145" s="289">
        <v>111.3</v>
      </c>
      <c r="E145" s="238"/>
      <c r="F145" s="136"/>
      <c r="G145" s="136"/>
      <c r="H145" s="136"/>
      <c r="I145" s="136">
        <f>D145*G145</f>
        <v>0</v>
      </c>
      <c r="J145" s="136">
        <f>I145</f>
        <v>0</v>
      </c>
      <c r="K145" s="286"/>
    </row>
    <row r="146" spans="1:24" s="287" customFormat="1" x14ac:dyDescent="0.2">
      <c r="A146" s="269">
        <v>136</v>
      </c>
      <c r="B146" s="261" t="s">
        <v>488</v>
      </c>
      <c r="C146" s="238" t="s">
        <v>371</v>
      </c>
      <c r="D146" s="289">
        <v>21.2</v>
      </c>
      <c r="E146" s="238"/>
      <c r="F146" s="136"/>
      <c r="G146" s="136"/>
      <c r="H146" s="136"/>
      <c r="I146" s="136">
        <f>D146*G146</f>
        <v>0</v>
      </c>
      <c r="J146" s="136">
        <f>I146</f>
        <v>0</v>
      </c>
      <c r="K146" s="286"/>
    </row>
    <row r="147" spans="1:24" s="301" customFormat="1" ht="15.75" x14ac:dyDescent="0.25">
      <c r="A147" s="269">
        <v>137</v>
      </c>
      <c r="B147" s="296" t="s">
        <v>65</v>
      </c>
      <c r="C147" s="297"/>
      <c r="D147" s="298"/>
      <c r="E147" s="298"/>
      <c r="F147" s="299"/>
      <c r="G147" s="299"/>
      <c r="H147" s="299"/>
      <c r="I147" s="299"/>
      <c r="J147" s="299"/>
      <c r="K147" s="300"/>
    </row>
    <row r="148" spans="1:24" x14ac:dyDescent="0.25">
      <c r="A148" s="269">
        <v>138</v>
      </c>
      <c r="B148" s="51" t="s">
        <v>365</v>
      </c>
      <c r="C148" s="302" t="s">
        <v>11</v>
      </c>
      <c r="D148" s="35"/>
      <c r="E148" s="35"/>
      <c r="F148" s="250"/>
      <c r="G148" s="250"/>
      <c r="H148" s="249">
        <f>D148*F148</f>
        <v>0</v>
      </c>
      <c r="I148" s="257"/>
      <c r="J148" s="249">
        <f>H148</f>
        <v>0</v>
      </c>
      <c r="K148" s="285"/>
    </row>
    <row r="149" spans="1:24" x14ac:dyDescent="0.25">
      <c r="A149" s="269">
        <v>139</v>
      </c>
      <c r="B149" s="45" t="s">
        <v>366</v>
      </c>
      <c r="C149" s="45"/>
      <c r="D149" s="45"/>
      <c r="E149" s="45"/>
      <c r="F149" s="45"/>
      <c r="G149" s="45"/>
      <c r="H149" s="258">
        <f>SUM(H11:H148)</f>
        <v>0</v>
      </c>
      <c r="I149" s="265">
        <f>SUM(I11:I148)</f>
        <v>0</v>
      </c>
      <c r="J149" s="303"/>
      <c r="K149" s="285"/>
    </row>
    <row r="150" spans="1:24" x14ac:dyDescent="0.25">
      <c r="A150" s="269">
        <v>140</v>
      </c>
      <c r="B150" s="52" t="s">
        <v>367</v>
      </c>
      <c r="C150" s="259" t="s">
        <v>34</v>
      </c>
      <c r="D150" s="89"/>
      <c r="E150" s="25"/>
      <c r="F150" s="249"/>
      <c r="G150" s="249"/>
      <c r="H150" s="258"/>
      <c r="I150" s="265">
        <f>I149*D150/100</f>
        <v>0</v>
      </c>
      <c r="J150" s="249"/>
      <c r="K150" s="285"/>
    </row>
    <row r="151" spans="1:24" x14ac:dyDescent="0.25">
      <c r="A151" s="269">
        <v>141</v>
      </c>
      <c r="B151" s="52" t="s">
        <v>368</v>
      </c>
      <c r="C151" s="259" t="s">
        <v>34</v>
      </c>
      <c r="D151" s="89"/>
      <c r="E151" s="25"/>
      <c r="F151" s="249"/>
      <c r="G151" s="249"/>
      <c r="H151" s="258">
        <f>H149*D151/100</f>
        <v>0</v>
      </c>
      <c r="I151" s="265"/>
      <c r="J151" s="249"/>
      <c r="K151" s="285"/>
    </row>
    <row r="152" spans="1:24" s="260" customFormat="1" x14ac:dyDescent="0.25">
      <c r="A152" s="269">
        <v>142</v>
      </c>
      <c r="B152" s="260" t="s">
        <v>473</v>
      </c>
      <c r="H152" s="266">
        <f>H149+H151</f>
        <v>0</v>
      </c>
      <c r="I152" s="265">
        <f>I149+I150</f>
        <v>0</v>
      </c>
      <c r="J152" s="266">
        <f>H152+I152</f>
        <v>0</v>
      </c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</row>
    <row r="154" spans="1:24" x14ac:dyDescent="0.25">
      <c r="A154" s="304"/>
      <c r="B154" s="30" t="s">
        <v>8</v>
      </c>
      <c r="C154" s="305"/>
      <c r="E154" s="306"/>
      <c r="G154" s="306" t="s">
        <v>9</v>
      </c>
    </row>
    <row r="155" spans="1:24" ht="15.75" thickBot="1" x14ac:dyDescent="0.3">
      <c r="A155" s="304"/>
      <c r="B155" s="31"/>
      <c r="C155" s="309"/>
      <c r="D155" s="310"/>
      <c r="E155" s="310"/>
      <c r="F155" s="255"/>
      <c r="G155" s="251"/>
      <c r="H155" s="251"/>
      <c r="I155" s="251"/>
      <c r="J155" s="251"/>
    </row>
    <row r="156" spans="1:24" x14ac:dyDescent="0.25">
      <c r="D156" s="285"/>
      <c r="E156" s="285"/>
      <c r="F156" s="311"/>
      <c r="I156" s="136"/>
    </row>
    <row r="157" spans="1:24" x14ac:dyDescent="0.25">
      <c r="H157" s="136">
        <f>SUM(H11:H146)</f>
        <v>0</v>
      </c>
      <c r="I157" s="136">
        <f>SUM(I11:I146)</f>
        <v>0</v>
      </c>
      <c r="J157" s="136">
        <f>SUM(J11:J146)</f>
        <v>0</v>
      </c>
    </row>
    <row r="158" spans="1:24" x14ac:dyDescent="0.25">
      <c r="H158" s="268"/>
      <c r="I158" s="268"/>
      <c r="J158" s="268"/>
    </row>
    <row r="159" spans="1:24" x14ac:dyDescent="0.25">
      <c r="H159" s="268"/>
      <c r="I159" s="268"/>
      <c r="J159" s="268"/>
    </row>
  </sheetData>
  <mergeCells count="2">
    <mergeCell ref="A7:J7"/>
    <mergeCell ref="A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AA76"/>
  <sheetViews>
    <sheetView zoomScale="70" zoomScaleNormal="70" workbookViewId="0">
      <selection activeCell="U77" sqref="U77"/>
    </sheetView>
  </sheetViews>
  <sheetFormatPr defaultRowHeight="15" x14ac:dyDescent="0.25"/>
  <sheetData>
    <row r="7" spans="8:17" x14ac:dyDescent="0.25">
      <c r="H7" s="262" t="s">
        <v>380</v>
      </c>
      <c r="N7" t="s">
        <v>384</v>
      </c>
    </row>
    <row r="8" spans="8:17" x14ac:dyDescent="0.25">
      <c r="H8" t="s">
        <v>381</v>
      </c>
      <c r="I8">
        <f>2.8+0.4</f>
        <v>3.1999999999999997</v>
      </c>
      <c r="J8">
        <f>6+0.4</f>
        <v>6.4</v>
      </c>
      <c r="N8" t="s">
        <v>381</v>
      </c>
      <c r="O8">
        <f>2.8+0.4</f>
        <v>3.1999999999999997</v>
      </c>
      <c r="P8">
        <f>6+0.4</f>
        <v>6.4</v>
      </c>
    </row>
    <row r="9" spans="8:17" x14ac:dyDescent="0.25">
      <c r="H9" t="s">
        <v>382</v>
      </c>
      <c r="I9">
        <f>4.65+1.5</f>
        <v>6.15</v>
      </c>
      <c r="J9">
        <f>4+2.65+3.7+0.6</f>
        <v>10.950000000000001</v>
      </c>
      <c r="N9" t="s">
        <v>382</v>
      </c>
      <c r="O9">
        <f>4.65+1.5</f>
        <v>6.15</v>
      </c>
      <c r="P9">
        <f>0.6+3.7+2.6+4</f>
        <v>10.9</v>
      </c>
    </row>
    <row r="10" spans="8:17" x14ac:dyDescent="0.25">
      <c r="H10" t="s">
        <v>383</v>
      </c>
      <c r="I10" s="233">
        <f>I8*I9</f>
        <v>19.68</v>
      </c>
      <c r="J10" s="233">
        <f>J8*J9</f>
        <v>70.080000000000013</v>
      </c>
      <c r="K10" s="233">
        <f>I10+J10</f>
        <v>89.760000000000019</v>
      </c>
      <c r="N10" t="s">
        <v>383</v>
      </c>
      <c r="O10" s="233">
        <f>O8*O9</f>
        <v>19.68</v>
      </c>
      <c r="P10" s="233">
        <f>P8*P9</f>
        <v>69.760000000000005</v>
      </c>
      <c r="Q10" s="233">
        <f>O10+P10</f>
        <v>89.44</v>
      </c>
    </row>
    <row r="14" spans="8:17" x14ac:dyDescent="0.25">
      <c r="H14" t="s">
        <v>385</v>
      </c>
      <c r="N14" t="s">
        <v>386</v>
      </c>
    </row>
    <row r="15" spans="8:17" x14ac:dyDescent="0.25">
      <c r="H15" t="s">
        <v>381</v>
      </c>
      <c r="I15">
        <f>2.8+0.4</f>
        <v>3.1999999999999997</v>
      </c>
      <c r="J15">
        <f>6+0.4</f>
        <v>6.4</v>
      </c>
      <c r="K15">
        <f>2.8+0.4</f>
        <v>3.1999999999999997</v>
      </c>
      <c r="N15" t="s">
        <v>381</v>
      </c>
      <c r="O15">
        <f>2.8+0.4</f>
        <v>3.1999999999999997</v>
      </c>
      <c r="P15">
        <f>3.4</f>
        <v>3.4</v>
      </c>
    </row>
    <row r="16" spans="8:17" x14ac:dyDescent="0.25">
      <c r="H16" t="s">
        <v>382</v>
      </c>
      <c r="I16">
        <v>1</v>
      </c>
      <c r="J16">
        <f>0.3+1.5+3.5+5.8+0.3</f>
        <v>11.4</v>
      </c>
      <c r="K16">
        <v>0</v>
      </c>
      <c r="N16" t="s">
        <v>382</v>
      </c>
      <c r="O16">
        <f>0.95+5.82+3.51+1.5+0.9</f>
        <v>12.680000000000001</v>
      </c>
      <c r="P16">
        <f>0.35+5.82+3.5+1.5</f>
        <v>11.17</v>
      </c>
    </row>
    <row r="17" spans="8:27" x14ac:dyDescent="0.25">
      <c r="H17" t="s">
        <v>383</v>
      </c>
      <c r="I17" s="233">
        <f>I15*I16</f>
        <v>3.1999999999999997</v>
      </c>
      <c r="J17" s="233">
        <f>J15*J16</f>
        <v>72.960000000000008</v>
      </c>
      <c r="K17" s="233">
        <f>K15*K16</f>
        <v>0</v>
      </c>
      <c r="L17" s="233">
        <f>I17+J17+K17</f>
        <v>76.160000000000011</v>
      </c>
      <c r="N17" t="s">
        <v>383</v>
      </c>
      <c r="O17" s="233">
        <f>O15*O16</f>
        <v>40.576000000000001</v>
      </c>
      <c r="P17" s="233">
        <f>P15*P16</f>
        <v>37.978000000000002</v>
      </c>
      <c r="Q17" s="233"/>
      <c r="R17" s="233">
        <f>O17+P17+Q17</f>
        <v>78.554000000000002</v>
      </c>
    </row>
    <row r="20" spans="8:27" x14ac:dyDescent="0.25">
      <c r="H20" t="s">
        <v>387</v>
      </c>
      <c r="K20" s="233">
        <f>K10+Q10+L17+R17</f>
        <v>333.91399999999999</v>
      </c>
    </row>
    <row r="22" spans="8:27" x14ac:dyDescent="0.25">
      <c r="H22" t="s">
        <v>388</v>
      </c>
    </row>
    <row r="24" spans="8:27" x14ac:dyDescent="0.25">
      <c r="H24" t="s">
        <v>389</v>
      </c>
      <c r="K24" t="s">
        <v>393</v>
      </c>
      <c r="N24" t="s">
        <v>394</v>
      </c>
      <c r="Q24" t="s">
        <v>395</v>
      </c>
      <c r="T24" t="s">
        <v>396</v>
      </c>
      <c r="W24" t="s">
        <v>397</v>
      </c>
      <c r="Z24" t="s">
        <v>398</v>
      </c>
    </row>
    <row r="25" spans="8:27" x14ac:dyDescent="0.25">
      <c r="H25" t="s">
        <v>390</v>
      </c>
      <c r="I25">
        <f>0.55*1.72</f>
        <v>0.94600000000000006</v>
      </c>
      <c r="K25" t="s">
        <v>390</v>
      </c>
      <c r="L25">
        <f>0.8*0.5</f>
        <v>0.4</v>
      </c>
      <c r="N25" t="s">
        <v>390</v>
      </c>
      <c r="O25">
        <f>1.72*1.95</f>
        <v>3.3540000000000001</v>
      </c>
      <c r="Q25" t="s">
        <v>390</v>
      </c>
      <c r="R25">
        <f>1.72*0.8</f>
        <v>1.3760000000000001</v>
      </c>
      <c r="T25" t="s">
        <v>390</v>
      </c>
      <c r="U25">
        <f>1.3*1.57</f>
        <v>2.0410000000000004</v>
      </c>
      <c r="W25" t="s">
        <v>390</v>
      </c>
      <c r="X25">
        <f>1.72*2.4</f>
        <v>4.1280000000000001</v>
      </c>
      <c r="Z25" t="s">
        <v>390</v>
      </c>
      <c r="AA25">
        <f>1.72*2.1</f>
        <v>3.6120000000000001</v>
      </c>
    </row>
    <row r="26" spans="8:27" x14ac:dyDescent="0.25">
      <c r="H26" t="s">
        <v>391</v>
      </c>
      <c r="I26">
        <v>3</v>
      </c>
      <c r="K26" t="s">
        <v>391</v>
      </c>
      <c r="L26">
        <f>1</f>
        <v>1</v>
      </c>
      <c r="N26" t="s">
        <v>391</v>
      </c>
      <c r="O26">
        <v>2</v>
      </c>
      <c r="Q26" t="s">
        <v>391</v>
      </c>
      <c r="R26">
        <v>1</v>
      </c>
      <c r="T26" t="s">
        <v>391</v>
      </c>
      <c r="U26">
        <v>1</v>
      </c>
      <c r="W26" t="s">
        <v>391</v>
      </c>
      <c r="X26">
        <v>1</v>
      </c>
      <c r="Z26" t="s">
        <v>391</v>
      </c>
      <c r="AA26">
        <v>2</v>
      </c>
    </row>
    <row r="27" spans="8:27" x14ac:dyDescent="0.25">
      <c r="H27" t="s">
        <v>392</v>
      </c>
      <c r="I27">
        <f>I25*I26</f>
        <v>2.8380000000000001</v>
      </c>
      <c r="K27" t="s">
        <v>392</v>
      </c>
      <c r="L27">
        <f>L25*L26</f>
        <v>0.4</v>
      </c>
      <c r="N27" t="s">
        <v>392</v>
      </c>
      <c r="O27">
        <f>O25*O26</f>
        <v>6.7080000000000002</v>
      </c>
      <c r="Q27" t="s">
        <v>392</v>
      </c>
      <c r="R27">
        <f>R25*R26</f>
        <v>1.3760000000000001</v>
      </c>
      <c r="T27" t="s">
        <v>392</v>
      </c>
      <c r="U27">
        <f>U25*U26</f>
        <v>2.0410000000000004</v>
      </c>
      <c r="W27" t="s">
        <v>392</v>
      </c>
      <c r="X27">
        <f>X25*X26</f>
        <v>4.1280000000000001</v>
      </c>
      <c r="Z27" t="s">
        <v>392</v>
      </c>
      <c r="AA27">
        <f>AA25*AA26</f>
        <v>7.2240000000000002</v>
      </c>
    </row>
    <row r="29" spans="8:27" x14ac:dyDescent="0.25">
      <c r="H29" t="s">
        <v>399</v>
      </c>
      <c r="K29" t="s">
        <v>400</v>
      </c>
      <c r="N29" t="s">
        <v>401</v>
      </c>
      <c r="Q29" t="s">
        <v>402</v>
      </c>
      <c r="T29" t="s">
        <v>403</v>
      </c>
      <c r="W29" t="s">
        <v>404</v>
      </c>
    </row>
    <row r="30" spans="8:27" x14ac:dyDescent="0.25">
      <c r="H30" t="s">
        <v>390</v>
      </c>
      <c r="I30">
        <f>0.8*1.72</f>
        <v>1.3760000000000001</v>
      </c>
      <c r="K30" t="s">
        <v>390</v>
      </c>
      <c r="L30">
        <f>0.8*2.74</f>
        <v>2.1920000000000002</v>
      </c>
      <c r="N30" t="s">
        <v>390</v>
      </c>
      <c r="O30">
        <f>1.72*2.25</f>
        <v>3.87</v>
      </c>
      <c r="Q30" t="s">
        <v>390</v>
      </c>
      <c r="R30">
        <f>0.9*0.55</f>
        <v>0.49500000000000005</v>
      </c>
      <c r="T30" t="s">
        <v>390</v>
      </c>
      <c r="U30">
        <f>0.75*1.29</f>
        <v>0.96750000000000003</v>
      </c>
      <c r="W30" t="s">
        <v>390</v>
      </c>
      <c r="X30">
        <f>(0.85+4.05+0.85)*1.72</f>
        <v>9.8899999999999988</v>
      </c>
    </row>
    <row r="31" spans="8:27" x14ac:dyDescent="0.25">
      <c r="H31" t="s">
        <v>391</v>
      </c>
      <c r="I31">
        <v>1</v>
      </c>
      <c r="K31" t="s">
        <v>391</v>
      </c>
      <c r="L31">
        <v>1</v>
      </c>
      <c r="N31" t="s">
        <v>391</v>
      </c>
      <c r="O31">
        <v>1</v>
      </c>
      <c r="Q31" t="s">
        <v>391</v>
      </c>
      <c r="R31">
        <v>3</v>
      </c>
      <c r="T31" t="s">
        <v>391</v>
      </c>
      <c r="U31">
        <v>1</v>
      </c>
      <c r="W31" t="s">
        <v>391</v>
      </c>
      <c r="X31">
        <v>1</v>
      </c>
    </row>
    <row r="32" spans="8:27" x14ac:dyDescent="0.25">
      <c r="H32" t="s">
        <v>392</v>
      </c>
      <c r="I32">
        <f>I30*I31</f>
        <v>1.3760000000000001</v>
      </c>
      <c r="K32" t="s">
        <v>392</v>
      </c>
      <c r="L32">
        <f>L30*L31</f>
        <v>2.1920000000000002</v>
      </c>
      <c r="N32" t="s">
        <v>392</v>
      </c>
      <c r="O32">
        <f>O30*O31</f>
        <v>3.87</v>
      </c>
      <c r="Q32" t="s">
        <v>392</v>
      </c>
      <c r="R32">
        <f>R30*R31</f>
        <v>1.4850000000000001</v>
      </c>
      <c r="T32" t="s">
        <v>392</v>
      </c>
      <c r="U32">
        <f>U30*U31</f>
        <v>0.96750000000000003</v>
      </c>
      <c r="W32" t="s">
        <v>392</v>
      </c>
      <c r="X32">
        <f>X30*X31</f>
        <v>9.8899999999999988</v>
      </c>
    </row>
    <row r="35" spans="8:18" x14ac:dyDescent="0.25">
      <c r="H35" t="s">
        <v>405</v>
      </c>
      <c r="K35">
        <f>I27+L27+O27+R27+U27+X27+AA27+I32+L32+O32+R32+U32+X32</f>
        <v>44.4955</v>
      </c>
    </row>
    <row r="37" spans="8:18" x14ac:dyDescent="0.25">
      <c r="H37" t="s">
        <v>406</v>
      </c>
    </row>
    <row r="39" spans="8:18" x14ac:dyDescent="0.25">
      <c r="H39" t="s">
        <v>407</v>
      </c>
      <c r="K39" t="s">
        <v>408</v>
      </c>
      <c r="N39" t="s">
        <v>409</v>
      </c>
      <c r="Q39" t="s">
        <v>410</v>
      </c>
    </row>
    <row r="40" spans="8:18" x14ac:dyDescent="0.25">
      <c r="H40" t="s">
        <v>390</v>
      </c>
      <c r="I40">
        <f>1.8*2.79</f>
        <v>5.0220000000000002</v>
      </c>
      <c r="K40" t="s">
        <v>390</v>
      </c>
      <c r="L40">
        <f>0.9*2.38</f>
        <v>2.1419999999999999</v>
      </c>
      <c r="N40" t="s">
        <v>390</v>
      </c>
      <c r="O40">
        <f>1*2.79</f>
        <v>2.79</v>
      </c>
      <c r="Q40" t="s">
        <v>390</v>
      </c>
      <c r="R40">
        <f>2.48*2.8</f>
        <v>6.944</v>
      </c>
    </row>
    <row r="41" spans="8:18" x14ac:dyDescent="0.25">
      <c r="H41" t="s">
        <v>391</v>
      </c>
      <c r="I41">
        <v>1</v>
      </c>
      <c r="K41" t="s">
        <v>391</v>
      </c>
      <c r="L41">
        <v>1</v>
      </c>
      <c r="N41" t="s">
        <v>391</v>
      </c>
      <c r="O41">
        <v>1</v>
      </c>
      <c r="Q41" t="s">
        <v>391</v>
      </c>
      <c r="R41">
        <v>1</v>
      </c>
    </row>
    <row r="42" spans="8:18" x14ac:dyDescent="0.25">
      <c r="H42" t="s">
        <v>392</v>
      </c>
      <c r="I42">
        <f>I40*I41</f>
        <v>5.0220000000000002</v>
      </c>
      <c r="K42" t="s">
        <v>392</v>
      </c>
      <c r="L42">
        <f>L40*L41</f>
        <v>2.1419999999999999</v>
      </c>
      <c r="N42" t="s">
        <v>392</v>
      </c>
      <c r="O42">
        <f>O40*O41</f>
        <v>2.79</v>
      </c>
      <c r="Q42" t="s">
        <v>392</v>
      </c>
      <c r="R42">
        <f>R40*R41</f>
        <v>6.944</v>
      </c>
    </row>
    <row r="45" spans="8:18" x14ac:dyDescent="0.25">
      <c r="H45" t="s">
        <v>411</v>
      </c>
      <c r="K45">
        <f>I42+L42+O42+R42</f>
        <v>16.898</v>
      </c>
    </row>
    <row r="48" spans="8:18" x14ac:dyDescent="0.25">
      <c r="H48" t="s">
        <v>412</v>
      </c>
      <c r="M48" s="233">
        <f>K20-K35-K45</f>
        <v>272.52049999999997</v>
      </c>
    </row>
    <row r="61" spans="4:7" x14ac:dyDescent="0.25">
      <c r="D61">
        <v>6.37</v>
      </c>
      <c r="E61">
        <v>0.2</v>
      </c>
      <c r="F61">
        <f>D61/E61</f>
        <v>31.849999999999998</v>
      </c>
      <c r="G61">
        <f>D61*F61</f>
        <v>202.8845</v>
      </c>
    </row>
    <row r="62" spans="4:7" x14ac:dyDescent="0.25">
      <c r="D62">
        <v>5.63</v>
      </c>
      <c r="E62">
        <v>0.2</v>
      </c>
      <c r="F62">
        <f>D62/E62</f>
        <v>28.15</v>
      </c>
      <c r="G62">
        <f>D62*F62</f>
        <v>158.4845</v>
      </c>
    </row>
    <row r="63" spans="4:7" x14ac:dyDescent="0.25">
      <c r="G63">
        <f>D63*F63</f>
        <v>0</v>
      </c>
    </row>
    <row r="64" spans="4:7" x14ac:dyDescent="0.25">
      <c r="D64">
        <v>5.95</v>
      </c>
      <c r="E64">
        <v>0.2</v>
      </c>
      <c r="F64">
        <f>D64/E64</f>
        <v>29.75</v>
      </c>
      <c r="G64">
        <f>D64*F64</f>
        <v>177.01250000000002</v>
      </c>
    </row>
    <row r="65" spans="4:23" x14ac:dyDescent="0.25">
      <c r="D65">
        <v>4.51</v>
      </c>
      <c r="E65">
        <v>0.2</v>
      </c>
      <c r="F65">
        <f>D65/E65</f>
        <v>22.549999999999997</v>
      </c>
      <c r="G65">
        <f>D65*F65</f>
        <v>101.70049999999998</v>
      </c>
    </row>
    <row r="66" spans="4:23" x14ac:dyDescent="0.25">
      <c r="G66">
        <f>G61+G62+G64+G65</f>
        <v>640.08200000000011</v>
      </c>
    </row>
    <row r="71" spans="4:23" x14ac:dyDescent="0.25">
      <c r="H71" t="s">
        <v>433</v>
      </c>
      <c r="Q71" t="s">
        <v>449</v>
      </c>
    </row>
    <row r="73" spans="4:23" x14ac:dyDescent="0.25">
      <c r="H73" t="s">
        <v>351</v>
      </c>
      <c r="J73" t="s">
        <v>435</v>
      </c>
      <c r="K73" t="s">
        <v>436</v>
      </c>
      <c r="L73" t="s">
        <v>437</v>
      </c>
      <c r="M73" t="s">
        <v>438</v>
      </c>
      <c r="Q73" t="s">
        <v>351</v>
      </c>
      <c r="S73" t="s">
        <v>435</v>
      </c>
      <c r="T73" t="s">
        <v>436</v>
      </c>
      <c r="U73" t="s">
        <v>437</v>
      </c>
      <c r="V73" t="s">
        <v>438</v>
      </c>
    </row>
    <row r="74" spans="4:23" x14ac:dyDescent="0.25">
      <c r="H74" t="s">
        <v>434</v>
      </c>
      <c r="I74">
        <f>(0.95+5.82+4.65+1.5+4+0.9+1.5+2.65+0.9+3.7+1.5+3.5+1.1+1.25+3.5+1.25+3.7+2.65+0.95+4+1.5+4.65)*(2.8+0.38)*0.38</f>
        <v>67.815407999999991</v>
      </c>
      <c r="J74">
        <f>R32+U32+I27+L27+O27+L32+X32+X27+AA27</f>
        <v>35.832499999999996</v>
      </c>
      <c r="K74">
        <f>O42+R42+L42+I42</f>
        <v>16.898</v>
      </c>
      <c r="L74">
        <f>((6.38+1.5+4+2.65+3.7)*(0.21+0.17)+0.12*(1.84+0.92+0.36+1.5+1.21+0.92+0.25+2.51+1.8+0.25+1.06+1.28+1.24+3.26+2.62+1.78))*3</f>
        <v>28.990199999999998</v>
      </c>
      <c r="M74">
        <f>0.38*0.92*2.1*2+1*2.1*2*0.2+2*2.1*0.2+0.92*0.2*2.1*3</f>
        <v>4.3075200000000002</v>
      </c>
      <c r="N74">
        <f>I74-J74-K74+L74-M74</f>
        <v>39.767587999999989</v>
      </c>
      <c r="Q74" t="s">
        <v>434</v>
      </c>
      <c r="R74">
        <f>3*(5.82+3.51+1.5+4+2.65+3.7+1.5+3.51+5.82+3.7+2.65+4)*0.38</f>
        <v>48.290399999999998</v>
      </c>
      <c r="S74">
        <f>U27+R27+O27/2+I32+L32+O32+AA27/2</f>
        <v>17.820999999999998</v>
      </c>
      <c r="T74">
        <f>X42+AA42+U42+R42</f>
        <v>6.944</v>
      </c>
      <c r="U74">
        <f>(0.38*(4+3.7)*3+0.2*3*(0.85+2+2.17+0.92+2.65+3.7+2.75+0.62+0.38+0.92+0.69+3.69+4.34+0.92+0.58))</f>
        <v>25.086000000000006</v>
      </c>
      <c r="V74">
        <f>0.2*0.92*2.1*5+1.12*2.1</f>
        <v>4.2840000000000007</v>
      </c>
      <c r="W74">
        <f>R74-S74-T74+U74-V74</f>
        <v>44.327400000000004</v>
      </c>
    </row>
    <row r="75" spans="4:23" x14ac:dyDescent="0.25">
      <c r="I75">
        <f>(0.95+5.82+4.65+1.5+4+0.9+1.5+2.65+0.9+3.7+1.5+3.5+1.1+1.25+3.5+1.25+3.7+2.65+0.95+4+1.5+4.65)</f>
        <v>56.12</v>
      </c>
      <c r="L75">
        <f>((6.38+1.5+4+2.65+3.7)*(0.21+0.17))*3</f>
        <v>20.782200000000003</v>
      </c>
      <c r="R75">
        <f>3*(5.82+3.51+1.5+4+2.65+3.7+1.5+3.51+5.82+3.7+2.65+4)-S74</f>
        <v>109.259</v>
      </c>
      <c r="U75">
        <f>(0.38*(4+3.7)*3+0.2*3*(0.85+2+2.17+0.92+2.65+3.7+2.75+0.62+0.38+0.92+0.69+3.69+4.34+0.92+0.58))</f>
        <v>25.086000000000006</v>
      </c>
    </row>
    <row r="76" spans="4:23" x14ac:dyDescent="0.25">
      <c r="L76">
        <f>0.125*(1.84+0.92+0.36+1.5+1.21+0.92+0.25+2.51+1.8+0.25+1.06+1.28+1.24+3.26+2.62+1.78)*2.85-5*0.92*2.1*0.125</f>
        <v>6.915</v>
      </c>
      <c r="R76">
        <f>(5.82+3.51+1.5+4+2.65+3.7+1.5+3.51+5.82+3.7+2.65+4)</f>
        <v>42.36</v>
      </c>
      <c r="U76">
        <f>3*(0.85+2+2.17+0.92+2.65+3.7+2.75+0.62+0.38+0.92+0.69+3.69+4.34+0.92+0.58)-4.23</f>
        <v>77.31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3"/>
  <sheetViews>
    <sheetView topLeftCell="A10" workbookViewId="0">
      <selection activeCell="A15" sqref="A15:IV16"/>
    </sheetView>
  </sheetViews>
  <sheetFormatPr defaultRowHeight="15" x14ac:dyDescent="0.25"/>
  <cols>
    <col min="1" max="1" width="6" customWidth="1"/>
    <col min="2" max="2" width="46" customWidth="1"/>
    <col min="5" max="5" width="10.28515625" hidden="1" customWidth="1"/>
    <col min="6" max="6" width="14.85546875" customWidth="1"/>
    <col min="7" max="7" width="16.85546875" customWidth="1"/>
    <col min="8" max="9" width="14.7109375" customWidth="1"/>
    <col min="10" max="10" width="14.85546875" customWidth="1"/>
    <col min="11" max="11" width="3.5703125" customWidth="1"/>
  </cols>
  <sheetData>
    <row r="1" spans="1:12" s="7" customFormat="1" ht="12.75" x14ac:dyDescent="0.25">
      <c r="A1" s="55"/>
      <c r="B1" s="26"/>
      <c r="D1" s="11"/>
      <c r="E1" s="40"/>
      <c r="F1" s="40"/>
      <c r="G1" s="40"/>
      <c r="H1" s="40" t="s">
        <v>362</v>
      </c>
      <c r="I1" s="12"/>
    </row>
    <row r="2" spans="1:12" s="7" customFormat="1" ht="90" customHeight="1" x14ac:dyDescent="0.25">
      <c r="A2" s="55"/>
      <c r="B2" s="274"/>
      <c r="C2" s="274"/>
      <c r="D2" s="274"/>
      <c r="E2" s="40"/>
      <c r="F2" s="40"/>
      <c r="G2" s="40"/>
      <c r="H2" s="40"/>
      <c r="I2" s="12"/>
    </row>
    <row r="3" spans="1:12" s="7" customFormat="1" ht="26.25" customHeight="1" x14ac:dyDescent="0.25">
      <c r="A3" s="164"/>
      <c r="B3" s="275" t="s">
        <v>171</v>
      </c>
      <c r="C3" s="275"/>
      <c r="D3" s="275"/>
      <c r="E3" s="40"/>
      <c r="F3" s="40"/>
      <c r="G3" s="40"/>
      <c r="H3" s="40"/>
      <c r="I3" s="12"/>
    </row>
    <row r="4" spans="1:12" s="7" customFormat="1" x14ac:dyDescent="0.25">
      <c r="A4" s="164"/>
      <c r="B4" s="226"/>
      <c r="C4" s="226"/>
      <c r="D4" s="226"/>
      <c r="E4" s="40"/>
      <c r="F4" s="40"/>
      <c r="G4" s="40"/>
      <c r="H4" s="40"/>
      <c r="I4" s="12"/>
    </row>
    <row r="5" spans="1:12" s="7" customFormat="1" ht="12.75" x14ac:dyDescent="0.25">
      <c r="A5" s="55"/>
      <c r="B5" s="60" t="s">
        <v>39</v>
      </c>
      <c r="D5" s="11"/>
      <c r="E5" s="40"/>
      <c r="F5" s="40"/>
      <c r="G5" s="61" t="s">
        <v>40</v>
      </c>
      <c r="H5" s="40"/>
      <c r="I5" s="12"/>
    </row>
    <row r="6" spans="1:12" s="7" customFormat="1" ht="12.75" x14ac:dyDescent="0.25">
      <c r="A6" s="55"/>
      <c r="B6" s="57"/>
      <c r="D6" s="11"/>
      <c r="E6" s="40"/>
      <c r="F6" s="40"/>
      <c r="G6" s="58"/>
      <c r="H6" s="58"/>
      <c r="I6" s="59"/>
    </row>
    <row r="7" spans="1:12" s="7" customFormat="1" ht="12.75" x14ac:dyDescent="0.25">
      <c r="A7" s="55"/>
      <c r="B7" s="68"/>
      <c r="D7" s="11"/>
      <c r="E7" s="40"/>
      <c r="F7" s="40"/>
      <c r="G7" s="69"/>
      <c r="H7" s="69"/>
      <c r="I7" s="70"/>
    </row>
    <row r="8" spans="1:12" s="7" customFormat="1" ht="12.75" x14ac:dyDescent="0.25">
      <c r="A8" s="55"/>
      <c r="B8" s="26"/>
      <c r="D8" s="11"/>
      <c r="E8" s="40"/>
      <c r="F8" s="40"/>
      <c r="G8" s="40"/>
      <c r="H8" s="40"/>
      <c r="I8" s="12"/>
    </row>
    <row r="9" spans="1:12" ht="20.25" x14ac:dyDescent="0.25">
      <c r="A9" s="273" t="s">
        <v>38</v>
      </c>
      <c r="B9" s="273"/>
      <c r="C9" s="273"/>
      <c r="D9" s="273"/>
      <c r="E9" s="273"/>
      <c r="F9" s="273"/>
      <c r="G9" s="273"/>
      <c r="H9" s="273"/>
      <c r="I9" s="273"/>
      <c r="J9" s="273"/>
    </row>
    <row r="10" spans="1:12" ht="28.5" customHeight="1" x14ac:dyDescent="0.25">
      <c r="A10" s="272" t="s">
        <v>363</v>
      </c>
      <c r="B10" s="272"/>
      <c r="C10" s="272"/>
      <c r="D10" s="272"/>
      <c r="E10" s="272"/>
      <c r="F10" s="272"/>
      <c r="G10" s="272"/>
      <c r="H10" s="272"/>
      <c r="I10" s="272"/>
      <c r="J10" s="272"/>
    </row>
    <row r="11" spans="1:12" x14ac:dyDescent="0.25">
      <c r="A11" s="116"/>
      <c r="C11" s="1"/>
      <c r="D11" s="2"/>
      <c r="E11" s="2"/>
      <c r="F11" s="33"/>
      <c r="G11" s="33"/>
      <c r="H11" s="33"/>
      <c r="I11" s="33"/>
      <c r="J11" s="2"/>
    </row>
    <row r="12" spans="1:12" ht="90" x14ac:dyDescent="0.25">
      <c r="A12" s="83" t="s">
        <v>0</v>
      </c>
      <c r="B12" s="84" t="s">
        <v>1</v>
      </c>
      <c r="C12" s="85" t="s">
        <v>10</v>
      </c>
      <c r="D12" s="85" t="s">
        <v>2</v>
      </c>
      <c r="E12" s="85" t="s">
        <v>344</v>
      </c>
      <c r="F12" s="84" t="s">
        <v>345</v>
      </c>
      <c r="G12" s="84" t="s">
        <v>346</v>
      </c>
      <c r="H12" s="84" t="s">
        <v>347</v>
      </c>
      <c r="I12" s="84" t="s">
        <v>348</v>
      </c>
      <c r="J12" s="86" t="s">
        <v>349</v>
      </c>
    </row>
    <row r="13" spans="1:12" s="7" customFormat="1" ht="15" customHeight="1" x14ac:dyDescent="0.25">
      <c r="A13" s="229">
        <v>1</v>
      </c>
      <c r="B13" s="245" t="s">
        <v>364</v>
      </c>
      <c r="C13" s="10"/>
      <c r="D13" s="8"/>
      <c r="E13" s="25"/>
      <c r="F13" s="25"/>
      <c r="G13" s="25"/>
      <c r="H13" s="25"/>
      <c r="I13" s="88"/>
      <c r="J13" s="6"/>
    </row>
    <row r="14" spans="1:12" s="7" customFormat="1" ht="15" customHeight="1" x14ac:dyDescent="0.25">
      <c r="A14" s="229">
        <v>2</v>
      </c>
      <c r="B14" s="87" t="s">
        <v>360</v>
      </c>
      <c r="C14" s="10"/>
      <c r="D14" s="8"/>
      <c r="E14" s="25"/>
      <c r="F14" s="25"/>
      <c r="G14" s="25"/>
      <c r="H14" s="25"/>
      <c r="I14" s="88"/>
      <c r="J14" s="6"/>
    </row>
    <row r="15" spans="1:12" s="7" customFormat="1" ht="39.75" customHeight="1" x14ac:dyDescent="0.25">
      <c r="A15" s="229"/>
      <c r="B15" s="45"/>
      <c r="C15" s="10"/>
      <c r="D15" s="10"/>
      <c r="E15" s="10"/>
      <c r="F15" s="247"/>
      <c r="G15" s="25"/>
      <c r="H15" s="25"/>
      <c r="I15" s="101"/>
      <c r="J15" s="25"/>
      <c r="K15" s="25"/>
      <c r="L15" s="88"/>
    </row>
    <row r="16" spans="1:12" s="44" customFormat="1" x14ac:dyDescent="0.25">
      <c r="A16" s="236"/>
      <c r="B16" s="41"/>
      <c r="C16" s="42"/>
      <c r="D16" s="42"/>
      <c r="E16" s="42"/>
      <c r="F16" s="161"/>
      <c r="G16" s="73"/>
      <c r="H16" s="73"/>
      <c r="I16" s="100"/>
      <c r="J16" s="73"/>
      <c r="K16" s="73"/>
      <c r="L16" s="82"/>
    </row>
    <row r="17" spans="1:12" s="9" customFormat="1" x14ac:dyDescent="0.25">
      <c r="A17" s="229"/>
      <c r="B17" s="45"/>
      <c r="C17" s="48"/>
      <c r="D17" s="46"/>
      <c r="E17" s="232"/>
      <c r="F17" s="89"/>
      <c r="G17" s="89"/>
      <c r="H17" s="89"/>
      <c r="I17" s="90"/>
      <c r="J17" s="162"/>
    </row>
    <row r="18" spans="1:12" s="44" customFormat="1" x14ac:dyDescent="0.25">
      <c r="A18" s="229"/>
      <c r="B18" s="41"/>
      <c r="C18" s="42"/>
      <c r="D18" s="43"/>
      <c r="E18" s="73"/>
      <c r="F18" s="73"/>
      <c r="G18" s="73"/>
      <c r="H18" s="73"/>
      <c r="I18" s="82"/>
      <c r="J18" s="163"/>
    </row>
    <row r="19" spans="1:12" s="44" customFormat="1" x14ac:dyDescent="0.25">
      <c r="A19" s="229"/>
      <c r="B19" s="41"/>
      <c r="C19" s="42"/>
      <c r="D19" s="43"/>
      <c r="E19" s="73"/>
      <c r="F19" s="73"/>
      <c r="G19" s="73"/>
      <c r="H19" s="73"/>
      <c r="I19" s="82"/>
      <c r="J19" s="163"/>
    </row>
    <row r="20" spans="1:12" s="44" customFormat="1" x14ac:dyDescent="0.25">
      <c r="A20" s="229"/>
      <c r="B20" s="41"/>
      <c r="C20" s="42"/>
      <c r="D20" s="43"/>
      <c r="E20" s="43"/>
      <c r="F20" s="73"/>
      <c r="G20" s="73"/>
      <c r="H20" s="73"/>
      <c r="I20" s="82"/>
      <c r="J20" s="163"/>
      <c r="K20" s="230"/>
      <c r="L20" s="231"/>
    </row>
    <row r="21" spans="1:12" s="9" customFormat="1" x14ac:dyDescent="0.25">
      <c r="A21" s="229"/>
      <c r="B21" s="45"/>
      <c r="C21" s="48"/>
      <c r="D21" s="46"/>
      <c r="E21" s="89"/>
      <c r="F21" s="89"/>
      <c r="G21" s="89"/>
      <c r="H21" s="89"/>
      <c r="I21" s="90"/>
      <c r="J21" s="162"/>
    </row>
    <row r="22" spans="1:12" s="44" customFormat="1" x14ac:dyDescent="0.25">
      <c r="A22" s="229"/>
      <c r="B22" s="41"/>
      <c r="C22" s="42"/>
      <c r="D22" s="43"/>
      <c r="E22" s="73"/>
      <c r="F22" s="73"/>
      <c r="G22" s="73"/>
      <c r="H22" s="73"/>
      <c r="I22" s="82"/>
      <c r="J22" s="163"/>
    </row>
    <row r="23" spans="1:12" s="44" customFormat="1" x14ac:dyDescent="0.25">
      <c r="A23" s="229"/>
      <c r="B23" s="41"/>
      <c r="C23" s="42"/>
      <c r="D23" s="43"/>
      <c r="E23" s="73"/>
      <c r="F23" s="73"/>
      <c r="G23" s="73"/>
      <c r="H23" s="73"/>
      <c r="I23" s="82"/>
      <c r="J23" s="163"/>
    </row>
    <row r="24" spans="1:12" s="9" customFormat="1" x14ac:dyDescent="0.25">
      <c r="A24" s="229"/>
      <c r="B24" s="45"/>
      <c r="C24" s="48"/>
      <c r="D24" s="89"/>
      <c r="E24" s="89"/>
      <c r="F24" s="89"/>
      <c r="G24" s="89"/>
      <c r="H24" s="89"/>
      <c r="I24" s="90"/>
      <c r="J24" s="162"/>
    </row>
    <row r="25" spans="1:12" s="44" customFormat="1" x14ac:dyDescent="0.25">
      <c r="A25" s="229"/>
      <c r="B25" s="41"/>
      <c r="C25" s="42"/>
      <c r="D25" s="43"/>
      <c r="E25" s="73"/>
      <c r="F25" s="73"/>
      <c r="G25" s="73"/>
      <c r="H25" s="73"/>
      <c r="I25" s="82"/>
      <c r="J25" s="163"/>
    </row>
    <row r="26" spans="1:12" s="9" customFormat="1" x14ac:dyDescent="0.25">
      <c r="A26" s="229"/>
      <c r="B26" s="45"/>
      <c r="C26" s="48"/>
      <c r="D26" s="46"/>
      <c r="E26" s="89"/>
      <c r="F26" s="89"/>
      <c r="G26" s="89"/>
      <c r="H26" s="89"/>
      <c r="I26" s="90"/>
      <c r="J26" s="162"/>
    </row>
    <row r="27" spans="1:12" s="9" customFormat="1" x14ac:dyDescent="0.25">
      <c r="A27" s="229"/>
      <c r="B27" s="45"/>
      <c r="C27" s="48"/>
      <c r="D27" s="46"/>
      <c r="E27" s="89"/>
      <c r="F27" s="89"/>
      <c r="G27" s="89"/>
      <c r="H27" s="89"/>
      <c r="I27" s="90"/>
      <c r="J27" s="162"/>
    </row>
    <row r="28" spans="1:12" s="44" customFormat="1" x14ac:dyDescent="0.25">
      <c r="A28" s="229"/>
      <c r="B28" s="41"/>
      <c r="C28" s="42"/>
      <c r="D28" s="43"/>
      <c r="E28" s="73"/>
      <c r="F28" s="73"/>
      <c r="G28" s="73"/>
      <c r="H28" s="73"/>
      <c r="I28" s="82"/>
      <c r="J28" s="163"/>
    </row>
    <row r="29" spans="1:12" s="44" customFormat="1" x14ac:dyDescent="0.25">
      <c r="A29" s="229"/>
      <c r="B29" s="41"/>
      <c r="C29" s="42"/>
      <c r="D29" s="43"/>
      <c r="E29" s="73"/>
      <c r="F29" s="73"/>
      <c r="G29" s="73"/>
      <c r="H29" s="73"/>
      <c r="I29" s="82"/>
      <c r="J29" s="163"/>
    </row>
    <row r="30" spans="1:12" s="9" customFormat="1" x14ac:dyDescent="0.25">
      <c r="A30" s="229"/>
      <c r="B30" s="45"/>
      <c r="C30" s="48"/>
      <c r="D30" s="46"/>
      <c r="E30" s="89"/>
      <c r="F30" s="89"/>
      <c r="G30" s="89"/>
      <c r="H30" s="89"/>
      <c r="I30" s="90"/>
      <c r="J30" s="162"/>
    </row>
    <row r="31" spans="1:12" s="44" customFormat="1" x14ac:dyDescent="0.25">
      <c r="A31" s="229"/>
      <c r="B31" s="41"/>
      <c r="C31" s="42"/>
      <c r="D31" s="43"/>
      <c r="E31" s="73"/>
      <c r="F31" s="73"/>
      <c r="G31" s="73"/>
      <c r="H31" s="73"/>
      <c r="I31" s="82"/>
      <c r="J31" s="163"/>
    </row>
    <row r="32" spans="1:12" s="44" customFormat="1" x14ac:dyDescent="0.25">
      <c r="A32" s="229"/>
      <c r="B32" s="41"/>
      <c r="C32" s="42"/>
      <c r="D32" s="43"/>
      <c r="E32" s="73"/>
      <c r="F32" s="73"/>
      <c r="G32" s="73"/>
      <c r="H32" s="73"/>
      <c r="I32" s="82"/>
      <c r="J32" s="163"/>
    </row>
    <row r="33" spans="1:12" s="44" customFormat="1" x14ac:dyDescent="0.25">
      <c r="A33" s="229"/>
      <c r="B33" s="41"/>
      <c r="C33" s="42"/>
      <c r="D33" s="43"/>
      <c r="E33" s="73"/>
      <c r="F33" s="73"/>
      <c r="G33" s="73"/>
      <c r="H33" s="73"/>
      <c r="I33" s="82"/>
      <c r="J33" s="163"/>
    </row>
    <row r="34" spans="1:12" s="44" customFormat="1" x14ac:dyDescent="0.25">
      <c r="A34" s="229"/>
      <c r="B34" s="41"/>
      <c r="C34" s="42"/>
      <c r="D34" s="43"/>
      <c r="E34" s="73"/>
      <c r="F34" s="73"/>
      <c r="G34" s="73"/>
      <c r="H34" s="73"/>
      <c r="I34" s="82"/>
      <c r="J34" s="163"/>
    </row>
    <row r="35" spans="1:12" s="9" customFormat="1" x14ac:dyDescent="0.25">
      <c r="A35" s="229"/>
      <c r="B35" s="45"/>
      <c r="C35" s="48"/>
      <c r="D35" s="46"/>
      <c r="E35" s="89"/>
      <c r="F35" s="89"/>
      <c r="G35" s="89"/>
      <c r="H35" s="89"/>
      <c r="I35" s="90"/>
      <c r="J35" s="162"/>
    </row>
    <row r="36" spans="1:12" s="44" customFormat="1" x14ac:dyDescent="0.25">
      <c r="A36" s="229"/>
      <c r="B36" s="41"/>
      <c r="C36" s="42"/>
      <c r="D36" s="43"/>
      <c r="E36" s="73"/>
      <c r="F36" s="73"/>
      <c r="G36" s="73"/>
      <c r="H36" s="73"/>
      <c r="I36" s="82"/>
      <c r="J36" s="163"/>
    </row>
    <row r="37" spans="1:12" s="44" customFormat="1" x14ac:dyDescent="0.25">
      <c r="A37" s="229"/>
      <c r="B37" s="41"/>
      <c r="C37" s="42"/>
      <c r="D37" s="43"/>
      <c r="E37" s="73"/>
      <c r="F37" s="73"/>
      <c r="G37" s="73"/>
      <c r="H37" s="73"/>
      <c r="I37" s="82"/>
      <c r="J37" s="163"/>
    </row>
    <row r="38" spans="1:12" s="44" customFormat="1" x14ac:dyDescent="0.25">
      <c r="A38" s="229"/>
      <c r="B38" s="41"/>
      <c r="C38" s="42"/>
      <c r="D38" s="43"/>
      <c r="E38" s="73"/>
      <c r="F38" s="73"/>
      <c r="G38" s="73"/>
      <c r="H38" s="73"/>
      <c r="I38" s="82"/>
      <c r="J38" s="163"/>
    </row>
    <row r="39" spans="1:12" s="9" customFormat="1" x14ac:dyDescent="0.25">
      <c r="A39" s="229"/>
      <c r="B39" s="45"/>
      <c r="C39" s="48"/>
      <c r="D39" s="46"/>
      <c r="E39" s="89"/>
      <c r="F39" s="89"/>
      <c r="G39" s="89"/>
      <c r="H39" s="89"/>
      <c r="I39" s="90"/>
      <c r="J39" s="162"/>
    </row>
    <row r="40" spans="1:12" s="49" customFormat="1" x14ac:dyDescent="0.25">
      <c r="A40" s="229"/>
      <c r="B40" s="41"/>
      <c r="C40" s="10"/>
      <c r="D40" s="43"/>
      <c r="E40" s="234"/>
      <c r="F40" s="234"/>
      <c r="G40" s="73"/>
      <c r="H40" s="73"/>
      <c r="I40" s="82"/>
      <c r="J40" s="163"/>
    </row>
    <row r="41" spans="1:12" s="9" customFormat="1" x14ac:dyDescent="0.25">
      <c r="A41" s="229"/>
      <c r="B41" s="45"/>
      <c r="C41" s="48"/>
      <c r="D41" s="46"/>
      <c r="E41" s="232"/>
      <c r="F41" s="89"/>
      <c r="G41" s="89"/>
      <c r="H41" s="89"/>
      <c r="I41" s="90"/>
      <c r="J41" s="162"/>
    </row>
    <row r="42" spans="1:12" s="44" customFormat="1" x14ac:dyDescent="0.25">
      <c r="A42" s="229"/>
      <c r="B42" s="41"/>
      <c r="C42" s="42"/>
      <c r="D42" s="43"/>
      <c r="E42" s="73"/>
      <c r="F42" s="73"/>
      <c r="G42" s="73"/>
      <c r="H42" s="73"/>
      <c r="I42" s="82"/>
      <c r="J42" s="163"/>
    </row>
    <row r="43" spans="1:12" s="44" customFormat="1" x14ac:dyDescent="0.25">
      <c r="A43" s="229"/>
      <c r="B43" s="41"/>
      <c r="C43" s="42"/>
      <c r="D43" s="43"/>
      <c r="E43" s="73"/>
      <c r="F43" s="73"/>
      <c r="G43" s="73"/>
      <c r="H43" s="73"/>
      <c r="I43" s="82"/>
      <c r="J43" s="163"/>
    </row>
    <row r="44" spans="1:12" s="44" customFormat="1" x14ac:dyDescent="0.25">
      <c r="A44" s="229"/>
      <c r="B44" s="41"/>
      <c r="C44" s="42"/>
      <c r="D44" s="43"/>
      <c r="E44" s="43"/>
      <c r="F44" s="73"/>
      <c r="G44" s="73"/>
      <c r="H44" s="73"/>
      <c r="I44" s="82"/>
      <c r="J44" s="163"/>
      <c r="K44" s="230"/>
      <c r="L44" s="231"/>
    </row>
    <row r="45" spans="1:12" s="9" customFormat="1" x14ac:dyDescent="0.25">
      <c r="A45" s="229"/>
      <c r="B45" s="45"/>
      <c r="C45" s="48"/>
      <c r="D45" s="46"/>
      <c r="E45" s="89"/>
      <c r="F45" s="89"/>
      <c r="G45" s="89"/>
      <c r="H45" s="89"/>
      <c r="I45" s="90"/>
      <c r="J45" s="162"/>
    </row>
    <row r="46" spans="1:12" s="49" customFormat="1" x14ac:dyDescent="0.25">
      <c r="A46" s="229"/>
      <c r="B46" s="41"/>
      <c r="C46" s="10"/>
      <c r="D46" s="43"/>
      <c r="E46" s="234"/>
      <c r="F46" s="234"/>
      <c r="G46" s="73"/>
      <c r="H46" s="73"/>
      <c r="I46" s="82"/>
      <c r="J46" s="163"/>
    </row>
    <row r="47" spans="1:12" s="9" customFormat="1" x14ac:dyDescent="0.25">
      <c r="A47" s="229"/>
      <c r="B47" s="45"/>
      <c r="C47" s="48"/>
      <c r="D47" s="46"/>
      <c r="E47" s="89"/>
      <c r="F47" s="89"/>
      <c r="G47" s="89"/>
      <c r="H47" s="89"/>
      <c r="I47" s="90"/>
      <c r="J47" s="162"/>
    </row>
    <row r="48" spans="1:12" s="44" customFormat="1" x14ac:dyDescent="0.25">
      <c r="A48" s="229"/>
      <c r="B48" s="41"/>
      <c r="C48" s="42"/>
      <c r="D48" s="43"/>
      <c r="E48" s="73"/>
      <c r="F48" s="73"/>
      <c r="G48" s="73"/>
      <c r="H48" s="73"/>
      <c r="I48" s="82"/>
      <c r="J48" s="163"/>
    </row>
    <row r="49" spans="1:10" s="44" customFormat="1" x14ac:dyDescent="0.25">
      <c r="A49" s="229"/>
      <c r="B49" s="41"/>
      <c r="C49" s="42"/>
      <c r="D49" s="43"/>
      <c r="E49" s="73"/>
      <c r="F49" s="73"/>
      <c r="G49" s="73"/>
      <c r="H49" s="73"/>
      <c r="I49" s="82"/>
      <c r="J49" s="163"/>
    </row>
    <row r="50" spans="1:10" s="44" customFormat="1" x14ac:dyDescent="0.25">
      <c r="A50" s="229"/>
      <c r="B50" s="41"/>
      <c r="C50" s="42"/>
      <c r="D50" s="43"/>
      <c r="E50" s="73"/>
      <c r="F50" s="73"/>
      <c r="G50" s="73"/>
      <c r="H50" s="73"/>
      <c r="I50" s="82"/>
      <c r="J50" s="163"/>
    </row>
    <row r="51" spans="1:10" s="9" customFormat="1" x14ac:dyDescent="0.25">
      <c r="A51" s="229"/>
      <c r="B51" s="45"/>
      <c r="C51" s="48"/>
      <c r="D51" s="46"/>
      <c r="E51" s="89"/>
      <c r="F51" s="89"/>
      <c r="G51" s="89"/>
      <c r="H51" s="89"/>
      <c r="I51" s="90"/>
      <c r="J51" s="162"/>
    </row>
    <row r="52" spans="1:10" s="44" customFormat="1" x14ac:dyDescent="0.25">
      <c r="A52" s="229"/>
      <c r="B52" s="41"/>
      <c r="C52" s="42"/>
      <c r="D52" s="43"/>
      <c r="E52" s="73"/>
      <c r="F52" s="73"/>
      <c r="G52" s="73"/>
      <c r="H52" s="73"/>
      <c r="I52" s="82"/>
      <c r="J52" s="163"/>
    </row>
    <row r="53" spans="1:10" s="9" customFormat="1" x14ac:dyDescent="0.25">
      <c r="A53" s="229"/>
      <c r="B53" s="45"/>
      <c r="C53" s="48"/>
      <c r="D53" s="46"/>
      <c r="E53" s="89"/>
      <c r="F53" s="89"/>
      <c r="G53" s="89"/>
      <c r="H53" s="89"/>
      <c r="I53" s="90"/>
      <c r="J53" s="162"/>
    </row>
    <row r="54" spans="1:10" s="49" customFormat="1" x14ac:dyDescent="0.25">
      <c r="A54" s="229"/>
      <c r="B54" s="41"/>
      <c r="C54" s="10"/>
      <c r="D54" s="43"/>
      <c r="E54" s="234"/>
      <c r="F54" s="234"/>
      <c r="G54" s="73"/>
      <c r="H54" s="73"/>
      <c r="I54" s="82"/>
      <c r="J54" s="163"/>
    </row>
    <row r="55" spans="1:10" s="9" customFormat="1" x14ac:dyDescent="0.25">
      <c r="A55" s="229"/>
      <c r="B55" s="45"/>
      <c r="C55" s="48"/>
      <c r="D55" s="46"/>
      <c r="E55" s="89"/>
      <c r="F55" s="89"/>
      <c r="G55" s="89"/>
      <c r="H55" s="89"/>
      <c r="I55" s="90"/>
      <c r="J55" s="162"/>
    </row>
    <row r="56" spans="1:10" s="44" customFormat="1" x14ac:dyDescent="0.25">
      <c r="A56" s="229"/>
      <c r="B56" s="41"/>
      <c r="C56" s="42"/>
      <c r="D56" s="43"/>
      <c r="E56" s="73"/>
      <c r="F56" s="73"/>
      <c r="G56" s="73"/>
      <c r="H56" s="73"/>
      <c r="I56" s="82"/>
      <c r="J56" s="163"/>
    </row>
    <row r="57" spans="1:10" s="44" customFormat="1" x14ac:dyDescent="0.25">
      <c r="A57" s="229"/>
      <c r="B57" s="74"/>
      <c r="C57" s="42"/>
      <c r="D57" s="43"/>
      <c r="E57" s="73"/>
      <c r="F57" s="73"/>
      <c r="G57" s="73"/>
      <c r="H57" s="73"/>
      <c r="I57" s="82"/>
      <c r="J57" s="163"/>
    </row>
    <row r="58" spans="1:10" s="9" customFormat="1" x14ac:dyDescent="0.25">
      <c r="A58" s="229"/>
      <c r="B58" s="45"/>
      <c r="C58" s="48"/>
      <c r="D58" s="46"/>
      <c r="E58" s="89"/>
      <c r="F58" s="89"/>
      <c r="G58" s="89"/>
      <c r="H58" s="89"/>
      <c r="I58" s="90"/>
      <c r="J58" s="162"/>
    </row>
    <row r="59" spans="1:10" s="44" customFormat="1" x14ac:dyDescent="0.25">
      <c r="A59" s="229"/>
      <c r="B59" s="41"/>
      <c r="C59" s="42"/>
      <c r="D59" s="43"/>
      <c r="E59" s="73"/>
      <c r="F59" s="73"/>
      <c r="G59" s="73"/>
      <c r="H59" s="73"/>
      <c r="I59" s="82"/>
      <c r="J59" s="47"/>
    </row>
    <row r="60" spans="1:10" s="9" customFormat="1" x14ac:dyDescent="0.25">
      <c r="A60" s="229"/>
      <c r="B60" s="45"/>
      <c r="C60" s="48"/>
      <c r="D60" s="46"/>
      <c r="E60" s="89"/>
      <c r="F60" s="89"/>
      <c r="G60" s="89"/>
      <c r="H60" s="89"/>
      <c r="I60" s="90"/>
      <c r="J60" s="162"/>
    </row>
    <row r="61" spans="1:10" s="44" customFormat="1" ht="30.75" customHeight="1" x14ac:dyDescent="0.25">
      <c r="A61" s="229"/>
      <c r="B61" s="41"/>
      <c r="C61" s="42"/>
      <c r="D61" s="43"/>
      <c r="E61" s="73"/>
      <c r="F61" s="73"/>
      <c r="G61" s="73"/>
      <c r="H61" s="73"/>
      <c r="I61" s="82"/>
      <c r="J61" s="163"/>
    </row>
    <row r="62" spans="1:10" s="44" customFormat="1" x14ac:dyDescent="0.25">
      <c r="A62" s="229"/>
      <c r="B62" s="41"/>
      <c r="C62" s="42"/>
      <c r="D62" s="43"/>
      <c r="E62" s="73"/>
      <c r="F62" s="73"/>
      <c r="G62" s="73"/>
      <c r="H62" s="73"/>
      <c r="I62" s="82"/>
      <c r="J62" s="163"/>
    </row>
    <row r="63" spans="1:10" s="44" customFormat="1" x14ac:dyDescent="0.25">
      <c r="A63" s="229"/>
      <c r="B63" s="41"/>
      <c r="C63" s="42"/>
      <c r="D63" s="43"/>
      <c r="E63" s="73"/>
      <c r="F63" s="73"/>
      <c r="G63" s="73"/>
      <c r="H63" s="73"/>
      <c r="I63" s="82"/>
      <c r="J63" s="163"/>
    </row>
    <row r="64" spans="1:10" s="9" customFormat="1" x14ac:dyDescent="0.25">
      <c r="A64" s="229"/>
      <c r="B64" s="45"/>
      <c r="C64" s="48"/>
      <c r="D64" s="46"/>
      <c r="E64" s="89"/>
      <c r="F64" s="89"/>
      <c r="G64" s="89"/>
      <c r="H64" s="89"/>
      <c r="I64" s="90"/>
      <c r="J64" s="162"/>
    </row>
    <row r="65" spans="1:10" s="44" customFormat="1" ht="36.75" customHeight="1" x14ac:dyDescent="0.25">
      <c r="A65" s="229"/>
      <c r="B65" s="41"/>
      <c r="C65" s="42"/>
      <c r="D65" s="43"/>
      <c r="E65" s="73"/>
      <c r="F65" s="73"/>
      <c r="G65" s="73"/>
      <c r="H65" s="73"/>
      <c r="I65" s="82"/>
      <c r="J65" s="163"/>
    </row>
    <row r="66" spans="1:10" s="56" customFormat="1" x14ac:dyDescent="0.25">
      <c r="A66" s="229"/>
      <c r="B66" s="45"/>
      <c r="C66" s="48"/>
      <c r="D66" s="46"/>
      <c r="E66" s="89"/>
      <c r="F66" s="89"/>
      <c r="G66" s="89"/>
      <c r="H66" s="89"/>
      <c r="I66" s="90"/>
      <c r="J66" s="162"/>
    </row>
    <row r="67" spans="1:10" s="44" customFormat="1" x14ac:dyDescent="0.25">
      <c r="A67" s="229"/>
      <c r="B67" s="41"/>
      <c r="C67" s="42"/>
      <c r="D67" s="43"/>
      <c r="E67" s="73"/>
      <c r="F67" s="73"/>
      <c r="G67" s="73"/>
      <c r="H67" s="73"/>
      <c r="I67" s="82"/>
      <c r="J67" s="163"/>
    </row>
    <row r="68" spans="1:10" s="44" customFormat="1" x14ac:dyDescent="0.25">
      <c r="A68" s="229"/>
      <c r="B68" s="41"/>
      <c r="C68" s="42"/>
      <c r="D68" s="43"/>
      <c r="E68" s="73"/>
      <c r="F68" s="73"/>
      <c r="G68" s="73"/>
      <c r="H68" s="73"/>
      <c r="I68" s="82"/>
      <c r="J68" s="163"/>
    </row>
    <row r="69" spans="1:10" s="44" customFormat="1" x14ac:dyDescent="0.25">
      <c r="A69" s="229"/>
      <c r="B69" s="41"/>
      <c r="C69" s="42"/>
      <c r="D69" s="43"/>
      <c r="E69" s="73"/>
      <c r="F69" s="73"/>
      <c r="G69" s="73"/>
      <c r="H69" s="73"/>
      <c r="I69" s="82"/>
      <c r="J69" s="163"/>
    </row>
    <row r="70" spans="1:10" s="56" customFormat="1" x14ac:dyDescent="0.25">
      <c r="A70" s="229"/>
      <c r="B70" s="45"/>
      <c r="C70" s="48"/>
      <c r="D70" s="46"/>
      <c r="E70" s="89"/>
      <c r="F70" s="89"/>
      <c r="G70" s="89"/>
      <c r="H70" s="89"/>
      <c r="I70" s="90"/>
      <c r="J70" s="162"/>
    </row>
    <row r="71" spans="1:10" s="235" customFormat="1" x14ac:dyDescent="0.25">
      <c r="A71" s="229"/>
      <c r="B71" s="41"/>
      <c r="C71" s="42"/>
      <c r="D71" s="43"/>
      <c r="E71" s="73"/>
      <c r="F71" s="73"/>
      <c r="G71" s="73"/>
      <c r="H71" s="73"/>
      <c r="I71" s="82"/>
      <c r="J71" s="163"/>
    </row>
    <row r="72" spans="1:10" s="44" customFormat="1" x14ac:dyDescent="0.25">
      <c r="A72" s="229"/>
      <c r="B72" s="41"/>
      <c r="C72" s="42"/>
      <c r="D72" s="43"/>
      <c r="E72" s="73"/>
      <c r="F72" s="73"/>
      <c r="G72" s="73"/>
      <c r="H72" s="73"/>
      <c r="I72" s="82"/>
      <c r="J72" s="163"/>
    </row>
    <row r="73" spans="1:10" s="44" customFormat="1" x14ac:dyDescent="0.25">
      <c r="A73" s="229"/>
      <c r="B73" s="41"/>
      <c r="C73" s="42"/>
      <c r="D73" s="43"/>
      <c r="E73" s="73"/>
      <c r="F73" s="73"/>
      <c r="G73" s="73"/>
      <c r="H73" s="73"/>
      <c r="I73" s="82"/>
      <c r="J73" s="163"/>
    </row>
    <row r="74" spans="1:10" s="56" customFormat="1" x14ac:dyDescent="0.25">
      <c r="A74" s="229"/>
      <c r="B74" s="45"/>
      <c r="C74" s="48"/>
      <c r="D74" s="46"/>
      <c r="E74" s="89"/>
      <c r="F74" s="89"/>
      <c r="G74" s="89"/>
      <c r="H74" s="89"/>
      <c r="I74" s="90"/>
      <c r="J74" s="162"/>
    </row>
    <row r="75" spans="1:10" s="44" customFormat="1" x14ac:dyDescent="0.25">
      <c r="A75" s="229"/>
      <c r="B75" s="41"/>
      <c r="C75" s="42"/>
      <c r="D75" s="43"/>
      <c r="E75" s="73"/>
      <c r="F75" s="73"/>
      <c r="G75" s="73"/>
      <c r="H75" s="73"/>
      <c r="I75" s="82"/>
      <c r="J75" s="163"/>
    </row>
    <row r="76" spans="1:10" s="44" customFormat="1" x14ac:dyDescent="0.25">
      <c r="A76" s="229"/>
      <c r="B76" s="41"/>
      <c r="C76" s="42"/>
      <c r="D76" s="43"/>
      <c r="E76" s="73"/>
      <c r="F76" s="73"/>
      <c r="G76" s="73"/>
      <c r="H76" s="73"/>
      <c r="I76" s="82"/>
      <c r="J76" s="163"/>
    </row>
    <row r="77" spans="1:10" s="227" customFormat="1" x14ac:dyDescent="0.25">
      <c r="A77" s="229"/>
      <c r="B77" s="237"/>
      <c r="C77" s="42"/>
      <c r="D77" s="8"/>
      <c r="E77" s="25"/>
      <c r="F77" s="25"/>
      <c r="G77" s="25"/>
      <c r="H77" s="73"/>
      <c r="I77" s="82"/>
      <c r="J77" s="163"/>
    </row>
    <row r="78" spans="1:10" s="56" customFormat="1" x14ac:dyDescent="0.25">
      <c r="A78" s="229"/>
      <c r="B78" s="45"/>
      <c r="C78" s="48"/>
      <c r="D78" s="46"/>
      <c r="E78" s="89"/>
      <c r="F78" s="89"/>
      <c r="G78" s="89"/>
      <c r="H78" s="89"/>
      <c r="I78" s="90"/>
      <c r="J78" s="162"/>
    </row>
    <row r="79" spans="1:10" s="44" customFormat="1" x14ac:dyDescent="0.25">
      <c r="A79" s="229"/>
      <c r="B79" s="41"/>
      <c r="C79" s="42"/>
      <c r="D79" s="43"/>
      <c r="E79" s="73"/>
      <c r="F79" s="73"/>
      <c r="G79" s="73"/>
      <c r="H79" s="73"/>
      <c r="I79" s="82"/>
      <c r="J79" s="163"/>
    </row>
    <row r="80" spans="1:10" s="44" customFormat="1" x14ac:dyDescent="0.25">
      <c r="A80" s="229"/>
      <c r="B80" s="41"/>
      <c r="C80" s="42"/>
      <c r="D80" s="43"/>
      <c r="E80" s="73"/>
      <c r="F80" s="73"/>
      <c r="G80" s="73"/>
      <c r="H80" s="73"/>
      <c r="I80" s="82"/>
      <c r="J80" s="163"/>
    </row>
    <row r="81" spans="1:10" s="44" customFormat="1" x14ac:dyDescent="0.25">
      <c r="A81" s="229"/>
      <c r="B81" s="41"/>
      <c r="C81" s="42"/>
      <c r="D81" s="43"/>
      <c r="E81" s="73"/>
      <c r="F81" s="73"/>
      <c r="G81" s="73"/>
      <c r="H81" s="73"/>
      <c r="I81" s="82"/>
      <c r="J81" s="163"/>
    </row>
    <row r="82" spans="1:10" s="56" customFormat="1" x14ac:dyDescent="0.25">
      <c r="A82" s="229"/>
      <c r="B82" s="45"/>
      <c r="C82" s="48"/>
      <c r="D82" s="46"/>
      <c r="E82" s="89"/>
      <c r="F82" s="89"/>
      <c r="G82" s="89"/>
      <c r="H82" s="89"/>
      <c r="I82" s="90"/>
      <c r="J82" s="162"/>
    </row>
    <row r="83" spans="1:10" s="235" customFormat="1" x14ac:dyDescent="0.25">
      <c r="A83" s="229"/>
      <c r="B83" s="41"/>
      <c r="C83" s="42"/>
      <c r="D83" s="43"/>
      <c r="E83" s="73"/>
      <c r="F83" s="73"/>
      <c r="G83" s="73"/>
      <c r="H83" s="73"/>
      <c r="I83" s="82"/>
      <c r="J83" s="163"/>
    </row>
    <row r="84" spans="1:10" s="44" customFormat="1" x14ac:dyDescent="0.25">
      <c r="A84" s="229"/>
      <c r="B84" s="41"/>
      <c r="C84" s="42"/>
      <c r="D84" s="43"/>
      <c r="E84" s="73"/>
      <c r="F84" s="73"/>
      <c r="G84" s="73"/>
      <c r="H84" s="73"/>
      <c r="I84" s="82"/>
      <c r="J84" s="163"/>
    </row>
    <row r="85" spans="1:10" s="44" customFormat="1" x14ac:dyDescent="0.25">
      <c r="A85" s="229"/>
      <c r="B85" s="41"/>
      <c r="C85" s="42"/>
      <c r="D85" s="43"/>
      <c r="E85" s="73"/>
      <c r="F85" s="73"/>
      <c r="G85" s="73"/>
      <c r="H85" s="73"/>
      <c r="I85" s="82"/>
      <c r="J85" s="163"/>
    </row>
    <row r="86" spans="1:10" s="56" customFormat="1" x14ac:dyDescent="0.25">
      <c r="A86" s="229"/>
      <c r="B86" s="45"/>
      <c r="C86" s="48"/>
      <c r="D86" s="46"/>
      <c r="E86" s="89"/>
      <c r="F86" s="89"/>
      <c r="G86" s="89"/>
      <c r="H86" s="89"/>
      <c r="I86" s="90"/>
      <c r="J86" s="162"/>
    </row>
    <row r="87" spans="1:10" s="235" customFormat="1" x14ac:dyDescent="0.25">
      <c r="A87" s="229"/>
      <c r="B87" s="41"/>
      <c r="C87" s="42"/>
      <c r="D87" s="43"/>
      <c r="E87" s="73"/>
      <c r="F87" s="73"/>
      <c r="G87" s="73"/>
      <c r="H87" s="73"/>
      <c r="I87" s="82"/>
      <c r="J87" s="163"/>
    </row>
    <row r="88" spans="1:10" s="44" customFormat="1" x14ac:dyDescent="0.25">
      <c r="A88" s="229"/>
      <c r="B88" s="41"/>
      <c r="C88" s="42"/>
      <c r="D88" s="43"/>
      <c r="E88" s="73"/>
      <c r="F88" s="73"/>
      <c r="G88" s="73"/>
      <c r="H88" s="73"/>
      <c r="I88" s="82"/>
      <c r="J88" s="163"/>
    </row>
    <row r="89" spans="1:10" s="44" customFormat="1" x14ac:dyDescent="0.25">
      <c r="A89" s="229"/>
      <c r="B89" s="41"/>
      <c r="C89" s="42"/>
      <c r="D89" s="43"/>
      <c r="E89" s="73"/>
      <c r="F89" s="73"/>
      <c r="G89" s="73"/>
      <c r="H89" s="73"/>
      <c r="I89" s="82"/>
      <c r="J89" s="163"/>
    </row>
    <row r="90" spans="1:10" s="44" customFormat="1" x14ac:dyDescent="0.25">
      <c r="A90" s="229"/>
      <c r="B90" s="41"/>
      <c r="C90" s="42"/>
      <c r="D90" s="43"/>
      <c r="E90" s="73"/>
      <c r="F90" s="73"/>
      <c r="G90" s="73"/>
      <c r="H90" s="73"/>
      <c r="I90" s="82"/>
      <c r="J90" s="163"/>
    </row>
    <row r="91" spans="1:10" s="56" customFormat="1" x14ac:dyDescent="0.25">
      <c r="A91" s="229"/>
      <c r="B91" s="241"/>
      <c r="C91" s="242"/>
      <c r="D91" s="242"/>
      <c r="E91" s="89"/>
      <c r="F91" s="242"/>
      <c r="G91" s="242"/>
      <c r="H91" s="89"/>
      <c r="I91" s="90"/>
      <c r="J91" s="162"/>
    </row>
    <row r="92" spans="1:10" s="235" customFormat="1" x14ac:dyDescent="0.25">
      <c r="A92" s="229"/>
      <c r="B92" s="188"/>
      <c r="C92" s="228"/>
      <c r="D92" s="243"/>
      <c r="E92" s="73"/>
      <c r="F92" s="189"/>
      <c r="G92" s="189"/>
      <c r="H92" s="73"/>
      <c r="I92" s="82"/>
      <c r="J92" s="163"/>
    </row>
    <row r="93" spans="1:10" s="235" customFormat="1" x14ac:dyDescent="0.25">
      <c r="A93" s="229"/>
      <c r="B93" s="41"/>
      <c r="C93" s="228"/>
      <c r="D93" s="43"/>
      <c r="E93" s="73"/>
      <c r="F93" s="73"/>
      <c r="G93" s="238"/>
      <c r="H93" s="73"/>
      <c r="I93" s="82"/>
      <c r="J93" s="163"/>
    </row>
    <row r="94" spans="1:10" s="9" customFormat="1" x14ac:dyDescent="0.25">
      <c r="A94" s="229"/>
      <c r="B94" s="45"/>
      <c r="C94" s="48"/>
      <c r="D94" s="46"/>
      <c r="E94" s="89"/>
      <c r="F94" s="89"/>
      <c r="G94" s="242"/>
      <c r="H94" s="89"/>
      <c r="I94" s="90"/>
      <c r="J94" s="162"/>
    </row>
    <row r="95" spans="1:10" s="44" customFormat="1" x14ac:dyDescent="0.25">
      <c r="A95" s="229"/>
      <c r="B95" s="41"/>
      <c r="C95" s="42"/>
      <c r="D95" s="43"/>
      <c r="E95" s="73"/>
      <c r="F95" s="73"/>
      <c r="G95" s="73"/>
      <c r="H95" s="73"/>
      <c r="I95" s="82"/>
      <c r="J95" s="163"/>
    </row>
    <row r="96" spans="1:10" s="44" customFormat="1" x14ac:dyDescent="0.25">
      <c r="A96" s="229"/>
      <c r="B96" s="41"/>
      <c r="C96" s="42"/>
      <c r="D96" s="43"/>
      <c r="E96" s="73"/>
      <c r="F96" s="73"/>
      <c r="G96" s="73"/>
      <c r="H96" s="73"/>
      <c r="I96" s="82"/>
      <c r="J96" s="163"/>
    </row>
    <row r="97" spans="1:10" s="235" customFormat="1" x14ac:dyDescent="0.25">
      <c r="A97" s="229"/>
      <c r="B97" s="74"/>
      <c r="C97" s="228"/>
      <c r="D97" s="43"/>
      <c r="E97" s="73"/>
      <c r="F97" s="73"/>
      <c r="G97" s="238"/>
      <c r="H97" s="73"/>
      <c r="I97" s="82"/>
      <c r="J97" s="163"/>
    </row>
    <row r="98" spans="1:10" s="7" customFormat="1" x14ac:dyDescent="0.25">
      <c r="A98" s="229"/>
      <c r="B98" s="45"/>
      <c r="C98" s="10"/>
      <c r="D98" s="8"/>
      <c r="E98" s="25"/>
      <c r="F98" s="25"/>
      <c r="G98" s="242"/>
      <c r="H98" s="89"/>
      <c r="I98" s="90"/>
      <c r="J98" s="162"/>
    </row>
    <row r="99" spans="1:10" s="44" customFormat="1" x14ac:dyDescent="0.25">
      <c r="A99" s="229"/>
      <c r="B99" s="41"/>
      <c r="C99" s="42"/>
      <c r="D99" s="43"/>
      <c r="E99" s="73"/>
      <c r="F99" s="73"/>
      <c r="G99" s="73"/>
      <c r="H99" s="73"/>
      <c r="I99" s="82"/>
      <c r="J99" s="163"/>
    </row>
    <row r="100" spans="1:10" s="44" customFormat="1" x14ac:dyDescent="0.25">
      <c r="A100" s="229"/>
      <c r="B100" s="41"/>
      <c r="C100" s="42"/>
      <c r="D100" s="43"/>
      <c r="E100" s="73"/>
      <c r="F100" s="73"/>
      <c r="G100" s="73"/>
      <c r="H100" s="73"/>
      <c r="I100" s="82"/>
      <c r="J100" s="163"/>
    </row>
    <row r="101" spans="1:10" s="44" customFormat="1" x14ac:dyDescent="0.25">
      <c r="A101" s="229"/>
      <c r="B101" s="41"/>
      <c r="C101" s="42"/>
      <c r="D101" s="43"/>
      <c r="E101" s="73"/>
      <c r="F101" s="73"/>
      <c r="G101" s="73"/>
      <c r="H101" s="73"/>
      <c r="I101" s="82"/>
      <c r="J101" s="163"/>
    </row>
    <row r="102" spans="1:10" s="44" customFormat="1" x14ac:dyDescent="0.25">
      <c r="A102" s="229"/>
      <c r="B102" s="41"/>
      <c r="C102" s="42"/>
      <c r="D102" s="43"/>
      <c r="E102" s="73"/>
      <c r="F102" s="73"/>
      <c r="G102" s="73"/>
      <c r="H102" s="73"/>
      <c r="I102" s="82"/>
      <c r="J102" s="163"/>
    </row>
    <row r="103" spans="1:10" s="44" customFormat="1" x14ac:dyDescent="0.25">
      <c r="A103" s="229"/>
      <c r="B103" s="41"/>
      <c r="C103" s="42"/>
      <c r="D103" s="43"/>
      <c r="E103" s="73"/>
      <c r="F103" s="73"/>
      <c r="G103" s="73"/>
      <c r="H103" s="73"/>
      <c r="I103" s="82"/>
      <c r="J103" s="163"/>
    </row>
    <row r="104" spans="1:10" s="44" customFormat="1" x14ac:dyDescent="0.25">
      <c r="A104" s="229"/>
      <c r="B104" s="41"/>
      <c r="C104" s="42"/>
      <c r="D104" s="43"/>
      <c r="E104" s="73"/>
      <c r="F104" s="73"/>
      <c r="G104" s="73"/>
      <c r="H104" s="73"/>
      <c r="I104" s="82"/>
      <c r="J104" s="163"/>
    </row>
    <row r="105" spans="1:10" s="44" customFormat="1" x14ac:dyDescent="0.25">
      <c r="A105" s="229"/>
      <c r="B105" s="41"/>
      <c r="C105" s="42"/>
      <c r="D105" s="43"/>
      <c r="E105" s="73"/>
      <c r="F105" s="73"/>
      <c r="G105" s="73"/>
      <c r="H105" s="73"/>
      <c r="I105" s="82"/>
      <c r="J105" s="163"/>
    </row>
    <row r="106" spans="1:10" s="9" customFormat="1" x14ac:dyDescent="0.25">
      <c r="A106" s="229"/>
      <c r="B106" s="45"/>
      <c r="C106" s="48"/>
      <c r="D106" s="46"/>
      <c r="E106" s="89"/>
      <c r="F106" s="89"/>
      <c r="G106" s="89"/>
      <c r="H106" s="89"/>
      <c r="I106" s="90"/>
      <c r="J106" s="162"/>
    </row>
    <row r="107" spans="1:10" s="49" customFormat="1" x14ac:dyDescent="0.25">
      <c r="A107" s="229"/>
      <c r="B107" s="41"/>
      <c r="C107" s="10"/>
      <c r="D107" s="43"/>
      <c r="E107" s="234"/>
      <c r="F107" s="234"/>
      <c r="G107" s="73"/>
      <c r="H107" s="73"/>
      <c r="I107" s="82"/>
      <c r="J107" s="163"/>
    </row>
    <row r="108" spans="1:10" s="9" customFormat="1" x14ac:dyDescent="0.25">
      <c r="A108" s="229"/>
      <c r="B108" s="45"/>
      <c r="C108" s="48"/>
      <c r="D108" s="46"/>
      <c r="E108" s="89"/>
      <c r="F108" s="89"/>
      <c r="G108" s="89"/>
      <c r="H108" s="89"/>
      <c r="I108" s="90"/>
      <c r="J108" s="162"/>
    </row>
    <row r="109" spans="1:10" s="44" customFormat="1" x14ac:dyDescent="0.25">
      <c r="A109" s="229"/>
      <c r="B109" s="41"/>
      <c r="C109" s="42"/>
      <c r="D109" s="43"/>
      <c r="E109" s="73"/>
      <c r="F109" s="73"/>
      <c r="G109" s="73"/>
      <c r="H109" s="73"/>
      <c r="I109" s="82"/>
      <c r="J109" s="163"/>
    </row>
    <row r="110" spans="1:10" s="44" customFormat="1" x14ac:dyDescent="0.25">
      <c r="A110" s="229"/>
      <c r="B110" s="41"/>
      <c r="C110" s="42"/>
      <c r="D110" s="43"/>
      <c r="E110" s="73"/>
      <c r="F110" s="73"/>
      <c r="G110" s="73"/>
      <c r="H110" s="73"/>
      <c r="I110" s="82"/>
      <c r="J110" s="163"/>
    </row>
    <row r="111" spans="1:10" s="9" customFormat="1" x14ac:dyDescent="0.25">
      <c r="A111" s="229"/>
      <c r="B111" s="45"/>
      <c r="C111" s="48"/>
      <c r="D111" s="46"/>
      <c r="E111" s="89"/>
      <c r="F111" s="89"/>
      <c r="G111" s="89"/>
      <c r="H111" s="89"/>
      <c r="I111" s="90"/>
      <c r="J111" s="162"/>
    </row>
    <row r="112" spans="1:10" s="44" customFormat="1" x14ac:dyDescent="0.25">
      <c r="A112" s="229"/>
      <c r="B112" s="41"/>
      <c r="C112" s="42"/>
      <c r="D112" s="43"/>
      <c r="E112" s="73"/>
      <c r="F112" s="73"/>
      <c r="G112" s="73"/>
      <c r="H112" s="73"/>
      <c r="I112" s="82"/>
      <c r="J112" s="163"/>
    </row>
    <row r="113" spans="1:12" s="9" customFormat="1" x14ac:dyDescent="0.25">
      <c r="A113" s="229"/>
      <c r="B113" s="45"/>
      <c r="C113" s="48"/>
      <c r="D113" s="46"/>
      <c r="E113" s="89"/>
      <c r="F113" s="89"/>
      <c r="G113" s="89"/>
      <c r="H113" s="89"/>
      <c r="I113" s="90"/>
      <c r="J113" s="162"/>
    </row>
    <row r="114" spans="1:12" s="44" customFormat="1" x14ac:dyDescent="0.25">
      <c r="A114" s="229"/>
      <c r="B114" s="41"/>
      <c r="C114" s="42"/>
      <c r="D114" s="43"/>
      <c r="E114" s="73"/>
      <c r="F114" s="73"/>
      <c r="G114" s="73"/>
      <c r="H114" s="73"/>
      <c r="I114" s="82"/>
    </row>
    <row r="115" spans="1:12" s="9" customFormat="1" x14ac:dyDescent="0.25">
      <c r="A115" s="229"/>
      <c r="B115" s="45"/>
      <c r="C115" s="48"/>
      <c r="D115" s="46"/>
      <c r="E115" s="89"/>
      <c r="F115" s="89"/>
      <c r="G115" s="89"/>
      <c r="H115" s="89"/>
      <c r="I115" s="90"/>
      <c r="J115" s="162"/>
    </row>
    <row r="116" spans="1:12" s="49" customFormat="1" x14ac:dyDescent="0.25">
      <c r="A116" s="229"/>
      <c r="B116" s="41"/>
      <c r="C116" s="10"/>
      <c r="D116" s="43"/>
      <c r="E116" s="234"/>
      <c r="F116" s="234"/>
      <c r="G116" s="73"/>
      <c r="H116" s="73"/>
      <c r="I116" s="82"/>
      <c r="J116" s="163"/>
    </row>
    <row r="117" spans="1:12" s="9" customFormat="1" ht="26.25" customHeight="1" x14ac:dyDescent="0.25">
      <c r="A117" s="229"/>
      <c r="B117" s="45"/>
      <c r="C117" s="48"/>
      <c r="D117" s="46"/>
      <c r="E117" s="232"/>
      <c r="F117" s="89"/>
      <c r="G117" s="89"/>
      <c r="H117" s="89"/>
      <c r="I117" s="90"/>
      <c r="J117" s="162"/>
    </row>
    <row r="118" spans="1:12" s="44" customFormat="1" x14ac:dyDescent="0.25">
      <c r="A118" s="229"/>
      <c r="B118" s="41"/>
      <c r="C118" s="42"/>
      <c r="D118" s="43"/>
      <c r="E118" s="73"/>
      <c r="F118" s="73"/>
      <c r="G118" s="73"/>
      <c r="H118" s="73"/>
      <c r="I118" s="82"/>
      <c r="J118" s="163"/>
    </row>
    <row r="119" spans="1:12" s="44" customFormat="1" x14ac:dyDescent="0.25">
      <c r="A119" s="229"/>
      <c r="B119" s="41"/>
      <c r="C119" s="42"/>
      <c r="D119" s="43"/>
      <c r="E119" s="73"/>
      <c r="F119" s="73"/>
      <c r="G119" s="73"/>
      <c r="H119" s="73"/>
      <c r="I119" s="82"/>
      <c r="J119" s="163"/>
    </row>
    <row r="120" spans="1:12" s="44" customFormat="1" x14ac:dyDescent="0.25">
      <c r="A120" s="229"/>
      <c r="B120" s="41"/>
      <c r="C120" s="42"/>
      <c r="D120" s="43"/>
      <c r="E120" s="43"/>
      <c r="F120" s="73"/>
      <c r="G120" s="73"/>
      <c r="H120" s="73"/>
      <c r="I120" s="82"/>
      <c r="J120" s="163"/>
      <c r="K120" s="230"/>
      <c r="L120" s="231"/>
    </row>
    <row r="121" spans="1:12" s="9" customFormat="1" x14ac:dyDescent="0.25">
      <c r="A121" s="229"/>
      <c r="B121" s="45"/>
      <c r="C121" s="48"/>
      <c r="D121" s="46"/>
      <c r="E121" s="89"/>
      <c r="F121" s="89"/>
      <c r="G121" s="89"/>
      <c r="H121" s="89"/>
      <c r="I121" s="90"/>
      <c r="J121" s="162"/>
    </row>
    <row r="122" spans="1:12" s="49" customFormat="1" x14ac:dyDescent="0.25">
      <c r="A122" s="229"/>
      <c r="B122" s="41"/>
      <c r="C122" s="10"/>
      <c r="D122" s="43"/>
      <c r="E122" s="234"/>
      <c r="F122" s="234"/>
      <c r="G122" s="73"/>
      <c r="H122" s="73"/>
      <c r="I122" s="82"/>
      <c r="J122" s="163"/>
    </row>
    <row r="123" spans="1:12" s="9" customFormat="1" x14ac:dyDescent="0.25">
      <c r="A123" s="229"/>
      <c r="B123" s="45"/>
      <c r="C123" s="48"/>
      <c r="D123" s="46"/>
      <c r="E123" s="89"/>
      <c r="F123" s="89"/>
      <c r="G123" s="89"/>
      <c r="H123" s="89"/>
      <c r="I123" s="90"/>
      <c r="J123" s="162"/>
    </row>
    <row r="124" spans="1:12" s="44" customFormat="1" x14ac:dyDescent="0.25">
      <c r="A124" s="229"/>
      <c r="B124" s="41"/>
      <c r="C124" s="42"/>
      <c r="D124" s="43"/>
      <c r="E124" s="73"/>
      <c r="F124" s="73"/>
      <c r="G124" s="73"/>
      <c r="H124" s="73"/>
      <c r="I124" s="82"/>
      <c r="J124" s="163"/>
    </row>
    <row r="125" spans="1:12" s="44" customFormat="1" x14ac:dyDescent="0.25">
      <c r="A125" s="229"/>
      <c r="B125" s="41"/>
      <c r="C125" s="42"/>
      <c r="D125" s="43"/>
      <c r="E125" s="73"/>
      <c r="F125" s="73"/>
      <c r="G125" s="73"/>
      <c r="H125" s="73"/>
      <c r="I125" s="82"/>
      <c r="J125" s="163"/>
    </row>
    <row r="126" spans="1:12" s="9" customFormat="1" x14ac:dyDescent="0.25">
      <c r="A126" s="229"/>
      <c r="B126" s="45"/>
      <c r="C126" s="48"/>
      <c r="D126" s="46"/>
      <c r="E126" s="89"/>
      <c r="F126" s="89"/>
      <c r="G126" s="89"/>
      <c r="H126" s="89"/>
      <c r="I126" s="90"/>
      <c r="J126" s="162"/>
    </row>
    <row r="127" spans="1:12" s="44" customFormat="1" x14ac:dyDescent="0.25">
      <c r="A127" s="229"/>
      <c r="B127" s="41"/>
      <c r="C127" s="42"/>
      <c r="D127" s="43"/>
      <c r="E127" s="73"/>
      <c r="F127" s="73"/>
      <c r="G127" s="73"/>
      <c r="H127" s="73"/>
      <c r="I127" s="82"/>
      <c r="J127" s="163"/>
    </row>
    <row r="128" spans="1:12" s="9" customFormat="1" x14ac:dyDescent="0.25">
      <c r="A128" s="229"/>
      <c r="B128" s="45"/>
      <c r="C128" s="48"/>
      <c r="D128" s="46"/>
      <c r="E128" s="89"/>
      <c r="F128" s="89"/>
      <c r="G128" s="89"/>
      <c r="H128" s="89"/>
      <c r="I128" s="90"/>
      <c r="J128" s="162"/>
    </row>
    <row r="129" spans="1:10" s="44" customFormat="1" x14ac:dyDescent="0.25">
      <c r="A129" s="229"/>
      <c r="B129" s="41"/>
      <c r="C129" s="42"/>
      <c r="D129" s="43"/>
      <c r="E129" s="73"/>
      <c r="F129" s="73"/>
      <c r="G129" s="73"/>
      <c r="H129" s="73"/>
      <c r="I129" s="82"/>
      <c r="J129" s="163"/>
    </row>
    <row r="130" spans="1:10" s="44" customFormat="1" x14ac:dyDescent="0.25">
      <c r="A130" s="229"/>
      <c r="B130" s="41"/>
      <c r="C130" s="42"/>
      <c r="D130" s="43"/>
      <c r="E130" s="73"/>
      <c r="F130" s="73"/>
      <c r="G130" s="73"/>
      <c r="H130" s="73"/>
      <c r="I130" s="82"/>
      <c r="J130" s="163"/>
    </row>
    <row r="131" spans="1:10" s="44" customFormat="1" x14ac:dyDescent="0.25">
      <c r="A131" s="229"/>
      <c r="B131" s="74"/>
      <c r="C131" s="42"/>
      <c r="D131" s="43"/>
      <c r="E131" s="73"/>
      <c r="F131" s="73"/>
      <c r="G131" s="73"/>
      <c r="H131" s="73"/>
      <c r="I131" s="82"/>
      <c r="J131" s="163"/>
    </row>
    <row r="132" spans="1:10" s="9" customFormat="1" x14ac:dyDescent="0.25">
      <c r="A132" s="229"/>
      <c r="B132" s="45"/>
      <c r="C132" s="48"/>
      <c r="D132" s="46"/>
      <c r="E132" s="89"/>
      <c r="F132" s="89"/>
      <c r="G132" s="89"/>
      <c r="H132" s="89"/>
      <c r="I132" s="90"/>
      <c r="J132" s="162"/>
    </row>
    <row r="133" spans="1:10" s="44" customFormat="1" x14ac:dyDescent="0.25">
      <c r="A133" s="229"/>
      <c r="B133" s="41"/>
      <c r="C133" s="42"/>
      <c r="D133" s="43"/>
      <c r="E133" s="73"/>
      <c r="F133" s="73"/>
      <c r="G133" s="73"/>
      <c r="H133" s="73"/>
      <c r="I133" s="82"/>
      <c r="J133" s="163"/>
    </row>
    <row r="134" spans="1:10" s="9" customFormat="1" x14ac:dyDescent="0.25">
      <c r="A134" s="229"/>
      <c r="B134" s="45"/>
      <c r="C134" s="48"/>
      <c r="D134" s="46"/>
      <c r="E134" s="89"/>
      <c r="F134" s="89"/>
      <c r="G134" s="89"/>
      <c r="H134" s="89"/>
      <c r="I134" s="90"/>
      <c r="J134" s="162"/>
    </row>
    <row r="135" spans="1:10" s="44" customFormat="1" x14ac:dyDescent="0.25">
      <c r="A135" s="229"/>
      <c r="B135" s="41"/>
      <c r="C135" s="42"/>
      <c r="D135" s="43"/>
      <c r="E135" s="73"/>
      <c r="F135" s="73"/>
      <c r="G135" s="73"/>
      <c r="H135" s="73"/>
      <c r="I135" s="82"/>
      <c r="J135" s="163"/>
    </row>
    <row r="136" spans="1:10" s="9" customFormat="1" x14ac:dyDescent="0.25">
      <c r="A136" s="229"/>
      <c r="B136" s="45"/>
      <c r="C136" s="48"/>
      <c r="D136" s="46"/>
      <c r="E136" s="89"/>
      <c r="F136" s="89"/>
      <c r="G136" s="89"/>
      <c r="H136" s="89"/>
      <c r="I136" s="90"/>
      <c r="J136" s="162"/>
    </row>
    <row r="137" spans="1:10" s="44" customFormat="1" x14ac:dyDescent="0.25">
      <c r="A137" s="229"/>
      <c r="B137" s="41"/>
      <c r="C137" s="42"/>
      <c r="D137" s="43"/>
      <c r="E137" s="73"/>
      <c r="F137" s="73"/>
      <c r="G137" s="73"/>
      <c r="H137" s="73"/>
      <c r="I137" s="82"/>
      <c r="J137" s="163"/>
    </row>
    <row r="138" spans="1:10" s="9" customFormat="1" x14ac:dyDescent="0.25">
      <c r="A138" s="229"/>
      <c r="B138" s="45"/>
      <c r="C138" s="48"/>
      <c r="D138" s="46"/>
      <c r="E138" s="89"/>
      <c r="F138" s="89"/>
      <c r="G138" s="89"/>
      <c r="H138" s="89"/>
      <c r="I138" s="90"/>
      <c r="J138" s="162"/>
    </row>
    <row r="139" spans="1:10" s="44" customFormat="1" x14ac:dyDescent="0.25">
      <c r="A139" s="229"/>
      <c r="B139" s="41"/>
      <c r="C139" s="42"/>
      <c r="D139" s="43"/>
      <c r="E139" s="73"/>
      <c r="F139" s="73"/>
      <c r="G139" s="73"/>
      <c r="H139" s="73"/>
      <c r="I139" s="82"/>
      <c r="J139" s="163"/>
    </row>
    <row r="140" spans="1:10" s="9" customFormat="1" x14ac:dyDescent="0.25">
      <c r="A140" s="229"/>
      <c r="B140" s="45"/>
      <c r="C140" s="48"/>
      <c r="D140" s="46"/>
      <c r="E140" s="89"/>
      <c r="F140" s="89"/>
      <c r="G140" s="89"/>
      <c r="H140" s="89"/>
      <c r="I140" s="90"/>
      <c r="J140" s="162"/>
    </row>
    <row r="141" spans="1:10" s="44" customFormat="1" x14ac:dyDescent="0.25">
      <c r="A141" s="229"/>
      <c r="B141" s="41"/>
      <c r="C141" s="42"/>
      <c r="D141" s="43"/>
      <c r="E141" s="73"/>
      <c r="F141" s="73"/>
      <c r="G141" s="73"/>
      <c r="H141" s="73"/>
      <c r="I141" s="82"/>
      <c r="J141" s="163"/>
    </row>
    <row r="142" spans="1:10" s="44" customFormat="1" x14ac:dyDescent="0.25">
      <c r="A142" s="229"/>
      <c r="B142" s="41"/>
      <c r="C142" s="48"/>
      <c r="D142" s="46"/>
      <c r="E142" s="73"/>
      <c r="F142" s="73"/>
      <c r="G142" s="73"/>
      <c r="H142" s="73"/>
      <c r="I142" s="82"/>
      <c r="J142" s="163"/>
    </row>
    <row r="143" spans="1:10" s="44" customFormat="1" x14ac:dyDescent="0.25">
      <c r="A143" s="229"/>
      <c r="B143" s="244"/>
      <c r="C143" s="48"/>
      <c r="D143" s="46"/>
      <c r="E143" s="73"/>
      <c r="F143" s="73"/>
      <c r="G143" s="73"/>
      <c r="H143" s="73"/>
      <c r="I143" s="82"/>
      <c r="J143" s="163"/>
    </row>
    <row r="144" spans="1:10" s="7" customFormat="1" ht="15" customHeight="1" x14ac:dyDescent="0.25">
      <c r="A144" s="229"/>
      <c r="B144" s="87"/>
      <c r="C144" s="10"/>
      <c r="D144" s="8"/>
      <c r="E144" s="25"/>
      <c r="F144" s="25"/>
      <c r="G144" s="25"/>
      <c r="H144" s="25"/>
      <c r="I144" s="88"/>
      <c r="J144" s="6"/>
    </row>
    <row r="145" spans="1:12" s="9" customFormat="1" x14ac:dyDescent="0.25">
      <c r="A145" s="229"/>
      <c r="B145" s="45"/>
      <c r="C145" s="48"/>
      <c r="D145" s="246"/>
      <c r="E145" s="89"/>
      <c r="F145" s="89"/>
      <c r="G145" s="89"/>
      <c r="H145" s="89"/>
      <c r="I145" s="90"/>
      <c r="J145" s="162"/>
      <c r="L145" s="46"/>
    </row>
    <row r="146" spans="1:12" s="49" customFormat="1" x14ac:dyDescent="0.25">
      <c r="A146" s="229"/>
      <c r="B146" s="41"/>
      <c r="C146" s="10"/>
      <c r="D146" s="43"/>
      <c r="E146" s="234"/>
      <c r="F146" s="234"/>
      <c r="G146" s="73"/>
      <c r="H146" s="73"/>
      <c r="I146" s="82"/>
      <c r="J146" s="163"/>
    </row>
    <row r="147" spans="1:12" s="9" customFormat="1" x14ac:dyDescent="0.25">
      <c r="A147" s="229"/>
      <c r="B147" s="45"/>
      <c r="C147" s="48"/>
      <c r="D147" s="46"/>
      <c r="E147" s="232"/>
      <c r="F147" s="89"/>
      <c r="G147" s="89"/>
      <c r="H147" s="89"/>
      <c r="I147" s="90"/>
      <c r="J147" s="162"/>
    </row>
    <row r="148" spans="1:12" s="44" customFormat="1" x14ac:dyDescent="0.25">
      <c r="A148" s="229"/>
      <c r="B148" s="41"/>
      <c r="C148" s="42"/>
      <c r="D148" s="43"/>
      <c r="E148" s="73"/>
      <c r="F148" s="73"/>
      <c r="G148" s="73"/>
      <c r="H148" s="73"/>
      <c r="I148" s="82"/>
      <c r="J148" s="163"/>
    </row>
    <row r="149" spans="1:12" s="44" customFormat="1" x14ac:dyDescent="0.25">
      <c r="A149" s="229"/>
      <c r="B149" s="41"/>
      <c r="C149" s="42"/>
      <c r="D149" s="43"/>
      <c r="E149" s="73"/>
      <c r="F149" s="73"/>
      <c r="G149" s="73"/>
      <c r="H149" s="73"/>
      <c r="I149" s="82"/>
      <c r="J149" s="163"/>
    </row>
    <row r="150" spans="1:12" s="44" customFormat="1" x14ac:dyDescent="0.25">
      <c r="A150" s="229"/>
      <c r="B150" s="41"/>
      <c r="C150" s="42"/>
      <c r="D150" s="43"/>
      <c r="E150" s="43"/>
      <c r="F150" s="73"/>
      <c r="G150" s="73"/>
      <c r="H150" s="73"/>
      <c r="I150" s="82"/>
      <c r="J150" s="163"/>
      <c r="K150" s="230"/>
      <c r="L150" s="231"/>
    </row>
    <row r="151" spans="1:12" s="9" customFormat="1" x14ac:dyDescent="0.25">
      <c r="A151" s="229"/>
      <c r="B151" s="45"/>
      <c r="C151" s="48"/>
      <c r="D151" s="46"/>
      <c r="E151" s="89"/>
      <c r="F151" s="89"/>
      <c r="G151" s="89"/>
      <c r="H151" s="89"/>
      <c r="I151" s="90"/>
      <c r="J151" s="162"/>
    </row>
    <row r="152" spans="1:12" s="44" customFormat="1" x14ac:dyDescent="0.25">
      <c r="A152" s="229"/>
      <c r="B152" s="41"/>
      <c r="C152" s="42"/>
      <c r="D152" s="43"/>
      <c r="E152" s="73"/>
      <c r="F152" s="73"/>
      <c r="G152" s="73"/>
      <c r="H152" s="73"/>
      <c r="I152" s="82"/>
      <c r="J152" s="163"/>
    </row>
    <row r="153" spans="1:12" s="44" customFormat="1" x14ac:dyDescent="0.25">
      <c r="A153" s="229"/>
      <c r="B153" s="41"/>
      <c r="C153" s="42"/>
      <c r="D153" s="43"/>
      <c r="E153" s="73"/>
      <c r="F153" s="73"/>
      <c r="G153" s="73"/>
      <c r="H153" s="73"/>
      <c r="I153" s="82"/>
      <c r="J153" s="163"/>
    </row>
    <row r="154" spans="1:12" s="9" customFormat="1" x14ac:dyDescent="0.25">
      <c r="A154" s="229"/>
      <c r="B154" s="45"/>
      <c r="C154" s="48"/>
      <c r="D154" s="89"/>
      <c r="E154" s="89"/>
      <c r="F154" s="89"/>
      <c r="G154" s="89"/>
      <c r="H154" s="89"/>
      <c r="I154" s="90"/>
      <c r="J154" s="162"/>
    </row>
    <row r="155" spans="1:12" s="44" customFormat="1" x14ac:dyDescent="0.25">
      <c r="A155" s="229"/>
      <c r="B155" s="41"/>
      <c r="C155" s="42"/>
      <c r="D155" s="43"/>
      <c r="E155" s="73"/>
      <c r="F155" s="73"/>
      <c r="G155" s="73"/>
      <c r="H155" s="73"/>
      <c r="I155" s="82"/>
      <c r="J155" s="163"/>
    </row>
    <row r="156" spans="1:12" s="9" customFormat="1" x14ac:dyDescent="0.25">
      <c r="A156" s="229"/>
      <c r="B156" s="45"/>
      <c r="C156" s="48"/>
      <c r="D156" s="46"/>
      <c r="E156" s="89"/>
      <c r="F156" s="89"/>
      <c r="G156" s="89"/>
      <c r="H156" s="89"/>
      <c r="I156" s="90"/>
      <c r="J156" s="162"/>
    </row>
    <row r="157" spans="1:12" s="9" customFormat="1" x14ac:dyDescent="0.25">
      <c r="A157" s="229"/>
      <c r="B157" s="45"/>
      <c r="C157" s="48"/>
      <c r="D157" s="46"/>
      <c r="E157" s="89"/>
      <c r="F157" s="89"/>
      <c r="G157" s="89"/>
      <c r="H157" s="89"/>
      <c r="I157" s="90"/>
      <c r="J157" s="162"/>
    </row>
    <row r="158" spans="1:12" s="44" customFormat="1" x14ac:dyDescent="0.25">
      <c r="A158" s="229"/>
      <c r="B158" s="41"/>
      <c r="C158" s="42"/>
      <c r="D158" s="43"/>
      <c r="E158" s="73"/>
      <c r="F158" s="73"/>
      <c r="G158" s="73"/>
      <c r="H158" s="73"/>
      <c r="I158" s="82"/>
      <c r="J158" s="163"/>
    </row>
    <row r="159" spans="1:12" s="44" customFormat="1" x14ac:dyDescent="0.25">
      <c r="A159" s="229"/>
      <c r="B159" s="41"/>
      <c r="C159" s="42"/>
      <c r="D159" s="43"/>
      <c r="E159" s="73"/>
      <c r="F159" s="73"/>
      <c r="G159" s="73"/>
      <c r="H159" s="73"/>
      <c r="I159" s="82"/>
      <c r="J159" s="163"/>
    </row>
    <row r="160" spans="1:12" s="9" customFormat="1" x14ac:dyDescent="0.25">
      <c r="A160" s="229"/>
      <c r="B160" s="45"/>
      <c r="C160" s="48"/>
      <c r="D160" s="46"/>
      <c r="E160" s="89"/>
      <c r="F160" s="89"/>
      <c r="G160" s="89"/>
      <c r="H160" s="89"/>
      <c r="I160" s="90"/>
      <c r="J160" s="162"/>
    </row>
    <row r="161" spans="1:12" s="44" customFormat="1" x14ac:dyDescent="0.25">
      <c r="A161" s="229"/>
      <c r="B161" s="41"/>
      <c r="C161" s="42"/>
      <c r="D161" s="43"/>
      <c r="E161" s="73"/>
      <c r="F161" s="73"/>
      <c r="G161" s="73"/>
      <c r="H161" s="73"/>
      <c r="I161" s="82"/>
      <c r="J161" s="163"/>
    </row>
    <row r="162" spans="1:12" s="44" customFormat="1" x14ac:dyDescent="0.25">
      <c r="A162" s="229"/>
      <c r="B162" s="41"/>
      <c r="C162" s="42"/>
      <c r="D162" s="43"/>
      <c r="E162" s="73"/>
      <c r="F162" s="73"/>
      <c r="G162" s="73"/>
      <c r="H162" s="73"/>
      <c r="I162" s="82"/>
      <c r="J162" s="163"/>
    </row>
    <row r="163" spans="1:12" s="44" customFormat="1" x14ac:dyDescent="0.25">
      <c r="A163" s="229"/>
      <c r="B163" s="41"/>
      <c r="C163" s="42"/>
      <c r="D163" s="43"/>
      <c r="E163" s="73"/>
      <c r="F163" s="73"/>
      <c r="G163" s="73"/>
      <c r="H163" s="73"/>
      <c r="I163" s="82"/>
      <c r="J163" s="163"/>
    </row>
    <row r="164" spans="1:12" s="9" customFormat="1" x14ac:dyDescent="0.25">
      <c r="A164" s="229"/>
      <c r="B164" s="45"/>
      <c r="C164" s="48"/>
      <c r="D164" s="46"/>
      <c r="E164" s="89"/>
      <c r="F164" s="89"/>
      <c r="G164" s="89"/>
      <c r="H164" s="89"/>
      <c r="I164" s="90"/>
      <c r="J164" s="162"/>
    </row>
    <row r="165" spans="1:12" s="49" customFormat="1" x14ac:dyDescent="0.25">
      <c r="A165" s="229"/>
      <c r="B165" s="41"/>
      <c r="C165" s="10"/>
      <c r="D165" s="43"/>
      <c r="E165" s="234"/>
      <c r="F165" s="234"/>
      <c r="G165" s="73"/>
      <c r="H165" s="73"/>
      <c r="I165" s="82"/>
      <c r="J165" s="163"/>
    </row>
    <row r="166" spans="1:12" s="9" customFormat="1" x14ac:dyDescent="0.25">
      <c r="A166" s="229"/>
      <c r="B166" s="45"/>
      <c r="C166" s="48"/>
      <c r="D166" s="46"/>
      <c r="E166" s="232"/>
      <c r="F166" s="89"/>
      <c r="G166" s="89"/>
      <c r="H166" s="89"/>
      <c r="I166" s="90"/>
      <c r="J166" s="162"/>
    </row>
    <row r="167" spans="1:12" s="44" customFormat="1" x14ac:dyDescent="0.25">
      <c r="A167" s="229"/>
      <c r="B167" s="41"/>
      <c r="C167" s="42"/>
      <c r="D167" s="43"/>
      <c r="E167" s="73"/>
      <c r="F167" s="73"/>
      <c r="G167" s="73"/>
      <c r="H167" s="73"/>
      <c r="I167" s="82"/>
      <c r="J167" s="163"/>
    </row>
    <row r="168" spans="1:12" s="44" customFormat="1" x14ac:dyDescent="0.25">
      <c r="A168" s="229"/>
      <c r="B168" s="41"/>
      <c r="C168" s="42"/>
      <c r="D168" s="43"/>
      <c r="E168" s="73"/>
      <c r="F168" s="73"/>
      <c r="G168" s="73"/>
      <c r="H168" s="73"/>
      <c r="I168" s="82"/>
      <c r="J168" s="163"/>
    </row>
    <row r="169" spans="1:12" s="44" customFormat="1" x14ac:dyDescent="0.25">
      <c r="A169" s="229"/>
      <c r="B169" s="41"/>
      <c r="C169" s="42"/>
      <c r="D169" s="43"/>
      <c r="E169" s="43"/>
      <c r="F169" s="73"/>
      <c r="G169" s="73"/>
      <c r="H169" s="73"/>
      <c r="I169" s="82"/>
      <c r="J169" s="163"/>
      <c r="K169" s="230"/>
      <c r="L169" s="231"/>
    </row>
    <row r="170" spans="1:12" s="9" customFormat="1" x14ac:dyDescent="0.25">
      <c r="A170" s="229"/>
      <c r="B170" s="45"/>
      <c r="C170" s="48"/>
      <c r="D170" s="46"/>
      <c r="E170" s="89"/>
      <c r="F170" s="89"/>
      <c r="G170" s="89"/>
      <c r="H170" s="89"/>
      <c r="I170" s="90"/>
      <c r="J170" s="162"/>
    </row>
    <row r="171" spans="1:12" s="49" customFormat="1" x14ac:dyDescent="0.25">
      <c r="A171" s="229"/>
      <c r="B171" s="41"/>
      <c r="C171" s="10"/>
      <c r="D171" s="43"/>
      <c r="E171" s="234"/>
      <c r="F171" s="234"/>
      <c r="G171" s="73"/>
      <c r="H171" s="73"/>
      <c r="I171" s="82"/>
      <c r="J171" s="163"/>
    </row>
    <row r="172" spans="1:12" s="9" customFormat="1" x14ac:dyDescent="0.25">
      <c r="A172" s="229"/>
      <c r="B172" s="45"/>
      <c r="C172" s="48"/>
      <c r="D172" s="46"/>
      <c r="E172" s="89"/>
      <c r="F172" s="89"/>
      <c r="G172" s="89"/>
      <c r="H172" s="89"/>
      <c r="I172" s="90"/>
      <c r="J172" s="162"/>
    </row>
    <row r="173" spans="1:12" s="44" customFormat="1" x14ac:dyDescent="0.25">
      <c r="A173" s="229"/>
      <c r="B173" s="41"/>
      <c r="C173" s="42"/>
      <c r="D173" s="43"/>
      <c r="E173" s="73"/>
      <c r="F173" s="73"/>
      <c r="G173" s="73"/>
      <c r="H173" s="73"/>
      <c r="I173" s="82"/>
      <c r="J173" s="163"/>
    </row>
    <row r="174" spans="1:12" s="44" customFormat="1" x14ac:dyDescent="0.25">
      <c r="A174" s="229"/>
      <c r="B174" s="41"/>
      <c r="C174" s="42"/>
      <c r="D174" s="43"/>
      <c r="E174" s="73"/>
      <c r="F174" s="73"/>
      <c r="G174" s="73"/>
      <c r="H174" s="73"/>
      <c r="I174" s="82"/>
      <c r="J174" s="163"/>
    </row>
    <row r="175" spans="1:12" s="44" customFormat="1" x14ac:dyDescent="0.25">
      <c r="A175" s="229"/>
      <c r="B175" s="41"/>
      <c r="C175" s="42"/>
      <c r="D175" s="43"/>
      <c r="E175" s="73"/>
      <c r="F175" s="73"/>
      <c r="G175" s="73"/>
      <c r="H175" s="73"/>
      <c r="I175" s="82"/>
      <c r="J175" s="163"/>
    </row>
    <row r="176" spans="1:12" s="9" customFormat="1" x14ac:dyDescent="0.25">
      <c r="A176" s="229"/>
      <c r="B176" s="45"/>
      <c r="C176" s="48"/>
      <c r="D176" s="46"/>
      <c r="E176" s="89"/>
      <c r="F176" s="89"/>
      <c r="G176" s="89"/>
      <c r="H176" s="89"/>
      <c r="I176" s="90"/>
      <c r="J176" s="162"/>
    </row>
    <row r="177" spans="1:10" s="44" customFormat="1" x14ac:dyDescent="0.25">
      <c r="A177" s="229"/>
      <c r="B177" s="41"/>
      <c r="C177" s="42"/>
      <c r="D177" s="43"/>
      <c r="E177" s="73"/>
      <c r="F177" s="73"/>
      <c r="G177" s="73"/>
      <c r="H177" s="73"/>
      <c r="I177" s="82"/>
      <c r="J177" s="163"/>
    </row>
    <row r="178" spans="1:10" s="9" customFormat="1" x14ac:dyDescent="0.25">
      <c r="A178" s="229"/>
      <c r="B178" s="45"/>
      <c r="C178" s="48"/>
      <c r="D178" s="46"/>
      <c r="E178" s="89"/>
      <c r="F178" s="89"/>
      <c r="G178" s="89"/>
      <c r="H178" s="89"/>
      <c r="I178" s="90"/>
      <c r="J178" s="162"/>
    </row>
    <row r="179" spans="1:10" s="49" customFormat="1" x14ac:dyDescent="0.25">
      <c r="A179" s="229"/>
      <c r="B179" s="41"/>
      <c r="C179" s="10"/>
      <c r="D179" s="43"/>
      <c r="E179" s="234"/>
      <c r="F179" s="234"/>
      <c r="G179" s="73"/>
      <c r="H179" s="73"/>
      <c r="I179" s="82"/>
      <c r="J179" s="163"/>
    </row>
    <row r="180" spans="1:10" s="9" customFormat="1" x14ac:dyDescent="0.25">
      <c r="A180" s="229"/>
      <c r="B180" s="45"/>
      <c r="C180" s="48"/>
      <c r="D180" s="46"/>
      <c r="E180" s="89"/>
      <c r="F180" s="89"/>
      <c r="G180" s="89"/>
      <c r="H180" s="89"/>
      <c r="I180" s="90"/>
      <c r="J180" s="162"/>
    </row>
    <row r="181" spans="1:10" s="44" customFormat="1" x14ac:dyDescent="0.25">
      <c r="A181" s="229"/>
      <c r="B181" s="41"/>
      <c r="C181" s="42"/>
      <c r="D181" s="43"/>
      <c r="E181" s="73"/>
      <c r="F181" s="73"/>
      <c r="G181" s="73"/>
      <c r="H181" s="73"/>
      <c r="I181" s="82"/>
      <c r="J181" s="163"/>
    </row>
    <row r="182" spans="1:10" s="44" customFormat="1" x14ac:dyDescent="0.25">
      <c r="A182" s="229"/>
      <c r="B182" s="74"/>
      <c r="C182" s="42"/>
      <c r="D182" s="43"/>
      <c r="E182" s="73"/>
      <c r="F182" s="73"/>
      <c r="G182" s="73"/>
      <c r="H182" s="73"/>
      <c r="I182" s="82"/>
      <c r="J182" s="163"/>
    </row>
    <row r="183" spans="1:10" s="9" customFormat="1" x14ac:dyDescent="0.25">
      <c r="A183" s="229"/>
      <c r="B183" s="45"/>
      <c r="C183" s="48"/>
      <c r="D183" s="46"/>
      <c r="E183" s="89"/>
      <c r="F183" s="89"/>
      <c r="G183" s="89"/>
      <c r="H183" s="89"/>
      <c r="I183" s="90"/>
      <c r="J183" s="162"/>
    </row>
    <row r="184" spans="1:10" s="44" customFormat="1" x14ac:dyDescent="0.25">
      <c r="A184" s="229"/>
      <c r="B184" s="41"/>
      <c r="C184" s="42"/>
      <c r="D184" s="43"/>
      <c r="E184" s="73"/>
      <c r="F184" s="73"/>
      <c r="G184" s="73"/>
      <c r="H184" s="73"/>
      <c r="I184" s="82"/>
      <c r="J184" s="47"/>
    </row>
    <row r="185" spans="1:10" s="9" customFormat="1" x14ac:dyDescent="0.25">
      <c r="A185" s="229"/>
      <c r="B185" s="45"/>
      <c r="C185" s="48"/>
      <c r="D185" s="46"/>
      <c r="E185" s="89"/>
      <c r="F185" s="89"/>
      <c r="G185" s="89"/>
      <c r="H185" s="89"/>
      <c r="I185" s="90"/>
      <c r="J185" s="162"/>
    </row>
    <row r="186" spans="1:10" s="44" customFormat="1" ht="30.75" customHeight="1" x14ac:dyDescent="0.25">
      <c r="A186" s="229"/>
      <c r="B186" s="41"/>
      <c r="C186" s="42"/>
      <c r="D186" s="43"/>
      <c r="E186" s="73"/>
      <c r="F186" s="73"/>
      <c r="G186" s="73"/>
      <c r="H186" s="73"/>
      <c r="I186" s="82"/>
      <c r="J186" s="163"/>
    </row>
    <row r="187" spans="1:10" s="44" customFormat="1" x14ac:dyDescent="0.25">
      <c r="A187" s="229"/>
      <c r="B187" s="41"/>
      <c r="C187" s="42"/>
      <c r="D187" s="43"/>
      <c r="E187" s="73"/>
      <c r="F187" s="73"/>
      <c r="G187" s="73"/>
      <c r="H187" s="73"/>
      <c r="I187" s="82"/>
      <c r="J187" s="163"/>
    </row>
    <row r="188" spans="1:10" s="44" customFormat="1" x14ac:dyDescent="0.25">
      <c r="A188" s="229"/>
      <c r="B188" s="41"/>
      <c r="C188" s="42"/>
      <c r="D188" s="43"/>
      <c r="E188" s="73"/>
      <c r="F188" s="73"/>
      <c r="G188" s="73"/>
      <c r="H188" s="73"/>
      <c r="I188" s="82"/>
      <c r="J188" s="163"/>
    </row>
    <row r="189" spans="1:10" s="9" customFormat="1" x14ac:dyDescent="0.25">
      <c r="A189" s="229"/>
      <c r="B189" s="45"/>
      <c r="C189" s="48"/>
      <c r="D189" s="46"/>
      <c r="E189" s="89"/>
      <c r="F189" s="89"/>
      <c r="G189" s="89"/>
      <c r="H189" s="89"/>
      <c r="I189" s="90"/>
      <c r="J189" s="162"/>
    </row>
    <row r="190" spans="1:10" s="44" customFormat="1" ht="36.75" customHeight="1" x14ac:dyDescent="0.25">
      <c r="A190" s="229"/>
      <c r="B190" s="41"/>
      <c r="C190" s="42"/>
      <c r="D190" s="43"/>
      <c r="E190" s="73"/>
      <c r="F190" s="73"/>
      <c r="G190" s="73"/>
      <c r="H190" s="73"/>
      <c r="I190" s="82"/>
      <c r="J190" s="163"/>
    </row>
    <row r="191" spans="1:10" s="56" customFormat="1" x14ac:dyDescent="0.25">
      <c r="A191" s="229"/>
      <c r="B191" s="45"/>
      <c r="C191" s="48"/>
      <c r="D191" s="46"/>
      <c r="E191" s="89"/>
      <c r="F191" s="89"/>
      <c r="G191" s="89"/>
      <c r="H191" s="89"/>
      <c r="I191" s="90"/>
      <c r="J191" s="162"/>
    </row>
    <row r="192" spans="1:10" s="44" customFormat="1" x14ac:dyDescent="0.25">
      <c r="A192" s="229"/>
      <c r="B192" s="41"/>
      <c r="C192" s="42"/>
      <c r="D192" s="43"/>
      <c r="E192" s="73"/>
      <c r="F192" s="73"/>
      <c r="G192" s="73"/>
      <c r="H192" s="73"/>
      <c r="I192" s="82"/>
      <c r="J192" s="163"/>
    </row>
    <row r="193" spans="1:10" s="44" customFormat="1" x14ac:dyDescent="0.25">
      <c r="A193" s="229"/>
      <c r="B193" s="41"/>
      <c r="C193" s="42"/>
      <c r="D193" s="43"/>
      <c r="E193" s="73"/>
      <c r="F193" s="73"/>
      <c r="G193" s="73"/>
      <c r="H193" s="73"/>
      <c r="I193" s="82"/>
      <c r="J193" s="163"/>
    </row>
    <row r="194" spans="1:10" s="44" customFormat="1" x14ac:dyDescent="0.25">
      <c r="A194" s="229"/>
      <c r="B194" s="41"/>
      <c r="C194" s="42"/>
      <c r="D194" s="43"/>
      <c r="E194" s="73"/>
      <c r="F194" s="73"/>
      <c r="G194" s="73"/>
      <c r="H194" s="73"/>
      <c r="I194" s="82"/>
      <c r="J194" s="163"/>
    </row>
    <row r="195" spans="1:10" s="56" customFormat="1" x14ac:dyDescent="0.25">
      <c r="A195" s="229"/>
      <c r="B195" s="45"/>
      <c r="C195" s="48"/>
      <c r="D195" s="46"/>
      <c r="E195" s="89"/>
      <c r="F195" s="89"/>
      <c r="G195" s="89"/>
      <c r="H195" s="89"/>
      <c r="I195" s="90"/>
      <c r="J195" s="162"/>
    </row>
    <row r="196" spans="1:10" s="44" customFormat="1" x14ac:dyDescent="0.25">
      <c r="A196" s="229"/>
      <c r="B196" s="41"/>
      <c r="C196" s="42"/>
      <c r="D196" s="43"/>
      <c r="E196" s="73"/>
      <c r="F196" s="73"/>
      <c r="G196" s="73"/>
      <c r="H196" s="73"/>
      <c r="I196" s="82"/>
      <c r="J196" s="163"/>
    </row>
    <row r="197" spans="1:10" s="44" customFormat="1" x14ac:dyDescent="0.25">
      <c r="A197" s="229"/>
      <c r="B197" s="41"/>
      <c r="C197" s="42"/>
      <c r="D197" s="43"/>
      <c r="E197" s="73"/>
      <c r="F197" s="73"/>
      <c r="G197" s="73"/>
      <c r="H197" s="73"/>
      <c r="I197" s="82"/>
      <c r="J197" s="163"/>
    </row>
    <row r="198" spans="1:10" s="44" customFormat="1" ht="25.5" customHeight="1" x14ac:dyDescent="0.25">
      <c r="A198" s="229"/>
      <c r="B198" s="41"/>
      <c r="C198" s="42"/>
      <c r="D198" s="43"/>
      <c r="E198" s="73"/>
      <c r="F198" s="73"/>
      <c r="G198" s="73"/>
      <c r="H198" s="73"/>
      <c r="I198" s="82"/>
      <c r="J198" s="163"/>
    </row>
    <row r="199" spans="1:10" s="56" customFormat="1" x14ac:dyDescent="0.25">
      <c r="A199" s="229"/>
      <c r="B199" s="241"/>
      <c r="C199" s="242"/>
      <c r="D199" s="242"/>
      <c r="E199" s="89"/>
      <c r="F199" s="242"/>
      <c r="G199" s="242"/>
      <c r="H199" s="89"/>
      <c r="I199" s="90"/>
      <c r="J199" s="162"/>
    </row>
    <row r="200" spans="1:10" s="235" customFormat="1" x14ac:dyDescent="0.25">
      <c r="A200" s="229"/>
      <c r="B200" s="188"/>
      <c r="C200" s="228"/>
      <c r="D200" s="243"/>
      <c r="E200" s="73"/>
      <c r="F200" s="189"/>
      <c r="G200" s="189"/>
      <c r="H200" s="73"/>
      <c r="I200" s="82"/>
      <c r="J200" s="163"/>
    </row>
    <row r="201" spans="1:10" s="235" customFormat="1" x14ac:dyDescent="0.25">
      <c r="A201" s="229"/>
      <c r="B201" s="41"/>
      <c r="C201" s="228"/>
      <c r="D201" s="43"/>
      <c r="E201" s="73"/>
      <c r="F201" s="73"/>
      <c r="G201" s="238"/>
      <c r="H201" s="73"/>
      <c r="I201" s="82"/>
      <c r="J201" s="163"/>
    </row>
    <row r="202" spans="1:10" s="9" customFormat="1" x14ac:dyDescent="0.25">
      <c r="A202" s="229"/>
      <c r="B202" s="45"/>
      <c r="C202" s="48"/>
      <c r="D202" s="46"/>
      <c r="E202" s="89"/>
      <c r="F202" s="89"/>
      <c r="G202" s="242"/>
      <c r="H202" s="89"/>
      <c r="I202" s="90"/>
      <c r="J202" s="162"/>
    </row>
    <row r="203" spans="1:10" s="44" customFormat="1" x14ac:dyDescent="0.25">
      <c r="A203" s="229"/>
      <c r="B203" s="41"/>
      <c r="C203" s="42"/>
      <c r="D203" s="43"/>
      <c r="E203" s="73"/>
      <c r="F203" s="73"/>
      <c r="G203" s="73"/>
      <c r="H203" s="73"/>
      <c r="I203" s="82"/>
      <c r="J203" s="163"/>
    </row>
    <row r="204" spans="1:10" s="44" customFormat="1" x14ac:dyDescent="0.25">
      <c r="A204" s="229"/>
      <c r="B204" s="41"/>
      <c r="C204" s="42"/>
      <c r="D204" s="43"/>
      <c r="E204" s="73"/>
      <c r="F204" s="73"/>
      <c r="G204" s="73"/>
      <c r="H204" s="73"/>
      <c r="I204" s="82"/>
      <c r="J204" s="163"/>
    </row>
    <row r="205" spans="1:10" s="235" customFormat="1" x14ac:dyDescent="0.25">
      <c r="A205" s="229"/>
      <c r="B205" s="74"/>
      <c r="C205" s="228"/>
      <c r="D205" s="43"/>
      <c r="E205" s="73"/>
      <c r="F205" s="73"/>
      <c r="G205" s="238"/>
      <c r="H205" s="73"/>
      <c r="I205" s="82"/>
      <c r="J205" s="163"/>
    </row>
    <row r="206" spans="1:10" s="9" customFormat="1" x14ac:dyDescent="0.25">
      <c r="A206" s="229"/>
      <c r="B206" s="45"/>
      <c r="C206" s="48"/>
      <c r="D206" s="46"/>
      <c r="E206" s="89"/>
      <c r="F206" s="89"/>
      <c r="G206" s="242"/>
      <c r="H206" s="89"/>
      <c r="I206" s="90"/>
      <c r="J206" s="162"/>
    </row>
    <row r="207" spans="1:10" s="44" customFormat="1" x14ac:dyDescent="0.25">
      <c r="A207" s="229"/>
      <c r="B207" s="41"/>
      <c r="C207" s="42"/>
      <c r="D207" s="43"/>
      <c r="E207" s="73"/>
      <c r="F207" s="73"/>
      <c r="G207" s="73"/>
      <c r="H207" s="73"/>
      <c r="I207" s="82"/>
      <c r="J207" s="163"/>
    </row>
    <row r="208" spans="1:10" s="44" customFormat="1" x14ac:dyDescent="0.25">
      <c r="A208" s="229"/>
      <c r="B208" s="41"/>
      <c r="C208" s="42"/>
      <c r="D208" s="43"/>
      <c r="E208" s="73"/>
      <c r="F208" s="73"/>
      <c r="G208" s="73"/>
      <c r="H208" s="73"/>
      <c r="I208" s="82"/>
      <c r="J208" s="163"/>
    </row>
    <row r="209" spans="1:10" s="44" customFormat="1" x14ac:dyDescent="0.25">
      <c r="A209" s="229"/>
      <c r="B209" s="41"/>
      <c r="C209" s="42"/>
      <c r="D209" s="43"/>
      <c r="E209" s="73"/>
      <c r="F209" s="73"/>
      <c r="G209" s="73"/>
      <c r="H209" s="73"/>
      <c r="I209" s="82"/>
      <c r="J209" s="163"/>
    </row>
    <row r="210" spans="1:10" s="44" customFormat="1" x14ac:dyDescent="0.25">
      <c r="A210" s="229"/>
      <c r="B210" s="41"/>
      <c r="C210" s="42"/>
      <c r="D210" s="43"/>
      <c r="E210" s="73"/>
      <c r="F210" s="73"/>
      <c r="G210" s="73"/>
      <c r="H210" s="73"/>
      <c r="I210" s="82"/>
      <c r="J210" s="163"/>
    </row>
    <row r="211" spans="1:10" s="44" customFormat="1" x14ac:dyDescent="0.25">
      <c r="A211" s="229"/>
      <c r="B211" s="41"/>
      <c r="C211" s="42"/>
      <c r="D211" s="43"/>
      <c r="E211" s="73"/>
      <c r="F211" s="73"/>
      <c r="G211" s="73"/>
      <c r="H211" s="73"/>
      <c r="I211" s="82"/>
      <c r="J211" s="163"/>
    </row>
    <row r="212" spans="1:10" s="44" customFormat="1" x14ac:dyDescent="0.25">
      <c r="A212" s="229"/>
      <c r="B212" s="41"/>
      <c r="C212" s="42"/>
      <c r="D212" s="43"/>
      <c r="E212" s="73"/>
      <c r="F212" s="73"/>
      <c r="G212" s="73"/>
      <c r="H212" s="73"/>
      <c r="I212" s="82"/>
      <c r="J212" s="163"/>
    </row>
    <row r="213" spans="1:10" s="44" customFormat="1" x14ac:dyDescent="0.25">
      <c r="A213" s="229"/>
      <c r="B213" s="41"/>
      <c r="C213" s="42"/>
      <c r="D213" s="43"/>
      <c r="E213" s="73"/>
      <c r="F213" s="73"/>
      <c r="G213" s="73"/>
      <c r="H213" s="73"/>
      <c r="I213" s="82"/>
      <c r="J213" s="163"/>
    </row>
    <row r="214" spans="1:10" s="9" customFormat="1" x14ac:dyDescent="0.25">
      <c r="A214" s="229"/>
      <c r="B214" s="45"/>
      <c r="C214" s="48"/>
      <c r="D214" s="46"/>
      <c r="E214" s="89"/>
      <c r="F214" s="89"/>
      <c r="G214" s="89"/>
      <c r="H214" s="89"/>
      <c r="I214" s="90"/>
      <c r="J214" s="162"/>
    </row>
    <row r="215" spans="1:10" s="49" customFormat="1" x14ac:dyDescent="0.25">
      <c r="A215" s="229"/>
      <c r="B215" s="41"/>
      <c r="C215" s="10"/>
      <c r="D215" s="43"/>
      <c r="E215" s="234"/>
      <c r="F215" s="234"/>
      <c r="G215" s="73"/>
      <c r="H215" s="73"/>
      <c r="I215" s="82"/>
      <c r="J215" s="163"/>
    </row>
    <row r="216" spans="1:10" s="9" customFormat="1" x14ac:dyDescent="0.25">
      <c r="A216" s="229"/>
      <c r="B216" s="45"/>
      <c r="C216" s="48"/>
      <c r="D216" s="46"/>
      <c r="E216" s="89"/>
      <c r="F216" s="89"/>
      <c r="G216" s="89"/>
      <c r="H216" s="89"/>
      <c r="I216" s="90"/>
      <c r="J216" s="162"/>
    </row>
    <row r="217" spans="1:10" s="44" customFormat="1" x14ac:dyDescent="0.25">
      <c r="A217" s="229"/>
      <c r="B217" s="41"/>
      <c r="C217" s="42"/>
      <c r="D217" s="43"/>
      <c r="E217" s="73"/>
      <c r="F217" s="73"/>
      <c r="G217" s="73"/>
      <c r="H217" s="73"/>
      <c r="I217" s="82"/>
      <c r="J217" s="163"/>
    </row>
    <row r="218" spans="1:10" s="44" customFormat="1" x14ac:dyDescent="0.25">
      <c r="A218" s="229"/>
      <c r="B218" s="41"/>
      <c r="C218" s="42"/>
      <c r="D218" s="43"/>
      <c r="E218" s="73"/>
      <c r="F218" s="73"/>
      <c r="G218" s="73"/>
      <c r="H218" s="73"/>
      <c r="I218" s="82"/>
      <c r="J218" s="163"/>
    </row>
    <row r="219" spans="1:10" s="9" customFormat="1" x14ac:dyDescent="0.25">
      <c r="A219" s="229"/>
      <c r="B219" s="45"/>
      <c r="C219" s="48"/>
      <c r="D219" s="46"/>
      <c r="E219" s="89"/>
      <c r="F219" s="89"/>
      <c r="G219" s="89"/>
      <c r="H219" s="89"/>
      <c r="I219" s="90"/>
      <c r="J219" s="162"/>
    </row>
    <row r="220" spans="1:10" s="44" customFormat="1" x14ac:dyDescent="0.25">
      <c r="A220" s="229"/>
      <c r="B220" s="41"/>
      <c r="C220" s="42"/>
      <c r="D220" s="43"/>
      <c r="E220" s="73"/>
      <c r="F220" s="73"/>
      <c r="G220" s="73"/>
      <c r="H220" s="73"/>
      <c r="I220" s="82"/>
      <c r="J220" s="163"/>
    </row>
    <row r="221" spans="1:10" s="9" customFormat="1" x14ac:dyDescent="0.25">
      <c r="A221" s="229"/>
      <c r="B221" s="45"/>
      <c r="C221" s="48"/>
      <c r="D221" s="46"/>
      <c r="E221" s="89"/>
      <c r="F221" s="89"/>
      <c r="G221" s="89"/>
      <c r="H221" s="89"/>
      <c r="I221" s="90"/>
      <c r="J221" s="162"/>
    </row>
    <row r="222" spans="1:10" s="44" customFormat="1" x14ac:dyDescent="0.25">
      <c r="A222" s="229"/>
      <c r="B222" s="41"/>
      <c r="C222" s="42"/>
      <c r="D222" s="43"/>
      <c r="E222" s="73"/>
      <c r="F222" s="73"/>
      <c r="G222" s="73"/>
      <c r="H222" s="73"/>
      <c r="I222" s="82"/>
    </row>
    <row r="223" spans="1:10" s="9" customFormat="1" ht="27" customHeight="1" x14ac:dyDescent="0.25">
      <c r="A223" s="229"/>
      <c r="B223" s="45"/>
      <c r="C223" s="48"/>
      <c r="D223" s="46"/>
      <c r="E223" s="89"/>
      <c r="F223" s="89"/>
      <c r="G223" s="89"/>
      <c r="H223" s="89"/>
      <c r="I223" s="90"/>
      <c r="J223" s="162"/>
    </row>
    <row r="224" spans="1:10" s="49" customFormat="1" x14ac:dyDescent="0.25">
      <c r="A224" s="229"/>
      <c r="B224" s="41"/>
      <c r="C224" s="10"/>
      <c r="D224" s="43"/>
      <c r="E224" s="234"/>
      <c r="F224" s="234"/>
      <c r="G224" s="73"/>
      <c r="H224" s="73"/>
      <c r="I224" s="82"/>
      <c r="J224" s="163"/>
    </row>
    <row r="225" spans="1:12" s="9" customFormat="1" ht="26.25" customHeight="1" x14ac:dyDescent="0.25">
      <c r="A225" s="229"/>
      <c r="B225" s="45"/>
      <c r="C225" s="48"/>
      <c r="D225" s="46"/>
      <c r="E225" s="232"/>
      <c r="F225" s="89"/>
      <c r="G225" s="89"/>
      <c r="H225" s="89"/>
      <c r="I225" s="90"/>
      <c r="J225" s="162"/>
    </row>
    <row r="226" spans="1:12" s="44" customFormat="1" x14ac:dyDescent="0.25">
      <c r="A226" s="229"/>
      <c r="B226" s="41"/>
      <c r="C226" s="42"/>
      <c r="D226" s="43"/>
      <c r="E226" s="73"/>
      <c r="F226" s="73"/>
      <c r="G226" s="73"/>
      <c r="H226" s="73"/>
      <c r="I226" s="82"/>
      <c r="J226" s="163"/>
    </row>
    <row r="227" spans="1:12" s="44" customFormat="1" x14ac:dyDescent="0.25">
      <c r="A227" s="229"/>
      <c r="B227" s="41"/>
      <c r="C227" s="42"/>
      <c r="D227" s="43"/>
      <c r="E227" s="73"/>
      <c r="F227" s="73"/>
      <c r="G227" s="73"/>
      <c r="H227" s="73"/>
      <c r="I227" s="82"/>
      <c r="J227" s="163"/>
    </row>
    <row r="228" spans="1:12" s="44" customFormat="1" x14ac:dyDescent="0.25">
      <c r="A228" s="229"/>
      <c r="B228" s="41"/>
      <c r="C228" s="42"/>
      <c r="D228" s="43"/>
      <c r="E228" s="43"/>
      <c r="F228" s="73"/>
      <c r="G228" s="73"/>
      <c r="H228" s="73"/>
      <c r="I228" s="82"/>
      <c r="J228" s="163"/>
      <c r="K228" s="230"/>
      <c r="L228" s="231"/>
    </row>
    <row r="229" spans="1:12" s="9" customFormat="1" ht="27" customHeight="1" x14ac:dyDescent="0.25">
      <c r="A229" s="229"/>
      <c r="B229" s="45"/>
      <c r="C229" s="48"/>
      <c r="D229" s="46"/>
      <c r="E229" s="89"/>
      <c r="F229" s="89"/>
      <c r="G229" s="89"/>
      <c r="H229" s="89"/>
      <c r="I229" s="90"/>
      <c r="J229" s="162"/>
    </row>
    <row r="230" spans="1:12" s="49" customFormat="1" x14ac:dyDescent="0.25">
      <c r="A230" s="229"/>
      <c r="B230" s="41"/>
      <c r="C230" s="10"/>
      <c r="D230" s="43"/>
      <c r="E230" s="234"/>
      <c r="F230" s="234"/>
      <c r="G230" s="73"/>
      <c r="H230" s="73"/>
      <c r="I230" s="82"/>
      <c r="J230" s="163"/>
    </row>
    <row r="231" spans="1:12" s="9" customFormat="1" x14ac:dyDescent="0.25">
      <c r="A231" s="229"/>
      <c r="B231" s="45"/>
      <c r="C231" s="48"/>
      <c r="D231" s="46"/>
      <c r="E231" s="89"/>
      <c r="F231" s="89"/>
      <c r="G231" s="89"/>
      <c r="H231" s="89"/>
      <c r="I231" s="90"/>
      <c r="J231" s="162"/>
    </row>
    <row r="232" spans="1:12" s="44" customFormat="1" x14ac:dyDescent="0.25">
      <c r="A232" s="229"/>
      <c r="B232" s="41"/>
      <c r="C232" s="42"/>
      <c r="D232" s="43"/>
      <c r="E232" s="73"/>
      <c r="F232" s="73"/>
      <c r="G232" s="73"/>
      <c r="H232" s="73"/>
      <c r="I232" s="82"/>
      <c r="J232" s="163"/>
    </row>
    <row r="233" spans="1:12" s="44" customFormat="1" x14ac:dyDescent="0.25">
      <c r="A233" s="229"/>
      <c r="B233" s="41"/>
      <c r="C233" s="42"/>
      <c r="D233" s="43"/>
      <c r="E233" s="73"/>
      <c r="F233" s="73"/>
      <c r="G233" s="73"/>
      <c r="H233" s="73"/>
      <c r="I233" s="82"/>
      <c r="J233" s="163"/>
    </row>
    <row r="234" spans="1:12" s="9" customFormat="1" x14ac:dyDescent="0.25">
      <c r="A234" s="229"/>
      <c r="B234" s="45"/>
      <c r="C234" s="48"/>
      <c r="D234" s="46"/>
      <c r="E234" s="89"/>
      <c r="F234" s="89"/>
      <c r="G234" s="89"/>
      <c r="H234" s="89"/>
      <c r="I234" s="90"/>
      <c r="J234" s="162"/>
    </row>
    <row r="235" spans="1:12" s="44" customFormat="1" x14ac:dyDescent="0.25">
      <c r="A235" s="229"/>
      <c r="B235" s="41"/>
      <c r="C235" s="42"/>
      <c r="D235" s="43"/>
      <c r="E235" s="73"/>
      <c r="F235" s="73"/>
      <c r="G235" s="73"/>
      <c r="H235" s="73"/>
      <c r="I235" s="82"/>
      <c r="J235" s="163"/>
    </row>
    <row r="236" spans="1:12" s="9" customFormat="1" x14ac:dyDescent="0.25">
      <c r="A236" s="229"/>
      <c r="B236" s="45"/>
      <c r="C236" s="48"/>
      <c r="D236" s="46"/>
      <c r="E236" s="89"/>
      <c r="F236" s="89"/>
      <c r="G236" s="89"/>
      <c r="H236" s="89"/>
      <c r="I236" s="90"/>
      <c r="J236" s="162"/>
    </row>
    <row r="237" spans="1:12" s="44" customFormat="1" x14ac:dyDescent="0.25">
      <c r="A237" s="229"/>
      <c r="B237" s="41"/>
      <c r="C237" s="42"/>
      <c r="D237" s="43"/>
      <c r="E237" s="73"/>
      <c r="F237" s="73"/>
      <c r="G237" s="73"/>
      <c r="H237" s="73"/>
      <c r="I237" s="82"/>
      <c r="J237" s="163"/>
    </row>
    <row r="238" spans="1:12" s="44" customFormat="1" x14ac:dyDescent="0.25">
      <c r="A238" s="229"/>
      <c r="B238" s="41"/>
      <c r="C238" s="42"/>
      <c r="D238" s="43"/>
      <c r="E238" s="73"/>
      <c r="F238" s="73"/>
      <c r="G238" s="73"/>
      <c r="H238" s="73"/>
      <c r="I238" s="82"/>
      <c r="J238" s="163"/>
    </row>
    <row r="239" spans="1:12" s="44" customFormat="1" x14ac:dyDescent="0.25">
      <c r="A239" s="229"/>
      <c r="B239" s="74"/>
      <c r="C239" s="42"/>
      <c r="D239" s="43"/>
      <c r="E239" s="73"/>
      <c r="F239" s="73"/>
      <c r="G239" s="73"/>
      <c r="H239" s="73"/>
      <c r="I239" s="82"/>
      <c r="J239" s="163"/>
    </row>
    <row r="240" spans="1:12" s="9" customFormat="1" x14ac:dyDescent="0.25">
      <c r="A240" s="229"/>
      <c r="B240" s="45"/>
      <c r="C240" s="48"/>
      <c r="D240" s="46"/>
      <c r="E240" s="89"/>
      <c r="F240" s="89"/>
      <c r="G240" s="89"/>
      <c r="H240" s="89"/>
      <c r="I240" s="90"/>
      <c r="J240" s="162"/>
    </row>
    <row r="241" spans="1:10" s="44" customFormat="1" x14ac:dyDescent="0.25">
      <c r="A241" s="229"/>
      <c r="B241" s="41"/>
      <c r="C241" s="42"/>
      <c r="D241" s="43"/>
      <c r="E241" s="73"/>
      <c r="F241" s="73"/>
      <c r="G241" s="73"/>
      <c r="H241" s="73"/>
      <c r="I241" s="82"/>
      <c r="J241" s="163"/>
    </row>
    <row r="242" spans="1:10" s="9" customFormat="1" x14ac:dyDescent="0.25">
      <c r="A242" s="229"/>
      <c r="B242" s="45"/>
      <c r="C242" s="48"/>
      <c r="D242" s="46"/>
      <c r="E242" s="89"/>
      <c r="F242" s="89"/>
      <c r="G242" s="89"/>
      <c r="H242" s="89"/>
      <c r="I242" s="90"/>
      <c r="J242" s="162"/>
    </row>
    <row r="243" spans="1:10" s="44" customFormat="1" x14ac:dyDescent="0.25">
      <c r="A243" s="229"/>
      <c r="B243" s="41"/>
      <c r="C243" s="42"/>
      <c r="D243" s="43"/>
      <c r="E243" s="73"/>
      <c r="F243" s="73"/>
      <c r="G243" s="73"/>
      <c r="H243" s="73"/>
      <c r="I243" s="82"/>
      <c r="J243" s="163"/>
    </row>
    <row r="244" spans="1:10" s="9" customFormat="1" x14ac:dyDescent="0.25">
      <c r="A244" s="229"/>
      <c r="B244" s="45"/>
      <c r="C244" s="48"/>
      <c r="D244" s="46"/>
      <c r="E244" s="89"/>
      <c r="F244" s="89"/>
      <c r="G244" s="89"/>
      <c r="H244" s="89"/>
      <c r="I244" s="90"/>
      <c r="J244" s="162"/>
    </row>
    <row r="245" spans="1:10" s="44" customFormat="1" x14ac:dyDescent="0.25">
      <c r="A245" s="229"/>
      <c r="B245" s="41"/>
      <c r="C245" s="42"/>
      <c r="D245" s="43"/>
      <c r="E245" s="73"/>
      <c r="F245" s="73"/>
      <c r="G245" s="73"/>
      <c r="H245" s="73"/>
      <c r="I245" s="82"/>
      <c r="J245" s="163"/>
    </row>
    <row r="246" spans="1:10" s="44" customFormat="1" x14ac:dyDescent="0.25">
      <c r="A246" s="229">
        <v>234</v>
      </c>
      <c r="B246" s="41"/>
      <c r="C246" s="42"/>
      <c r="D246" s="43"/>
      <c r="E246" s="73"/>
      <c r="F246" s="73"/>
      <c r="G246" s="73"/>
      <c r="H246" s="73"/>
      <c r="I246" s="82"/>
      <c r="J246" s="163"/>
    </row>
    <row r="247" spans="1:10" s="44" customFormat="1" hidden="1" x14ac:dyDescent="0.25">
      <c r="A247" s="229">
        <v>235</v>
      </c>
      <c r="B247" s="41"/>
      <c r="C247" s="42"/>
      <c r="D247" s="43"/>
      <c r="E247" s="73"/>
      <c r="F247" s="73"/>
      <c r="G247" s="73"/>
      <c r="H247" s="73"/>
      <c r="I247" s="82"/>
      <c r="J247" s="163"/>
    </row>
    <row r="248" spans="1:10" s="44" customFormat="1" hidden="1" x14ac:dyDescent="0.25">
      <c r="A248" s="229">
        <v>236</v>
      </c>
      <c r="B248" s="41"/>
      <c r="C248" s="42"/>
      <c r="D248" s="43"/>
      <c r="E248" s="73"/>
      <c r="F248" s="73"/>
      <c r="G248" s="73"/>
      <c r="H248" s="73"/>
      <c r="I248" s="82"/>
      <c r="J248" s="163"/>
    </row>
    <row r="249" spans="1:10" s="44" customFormat="1" hidden="1" x14ac:dyDescent="0.25">
      <c r="A249" s="229">
        <v>237</v>
      </c>
      <c r="B249" s="41"/>
      <c r="C249" s="42"/>
      <c r="D249" s="43"/>
      <c r="E249" s="73"/>
      <c r="F249" s="73"/>
      <c r="G249" s="73"/>
      <c r="H249" s="73"/>
      <c r="I249" s="82"/>
      <c r="J249" s="163"/>
    </row>
    <row r="250" spans="1:10" s="44" customFormat="1" hidden="1" x14ac:dyDescent="0.25">
      <c r="A250" s="229">
        <v>238</v>
      </c>
      <c r="B250" s="41"/>
      <c r="C250" s="42"/>
      <c r="D250" s="43"/>
      <c r="E250" s="73"/>
      <c r="F250" s="73"/>
      <c r="G250" s="73"/>
      <c r="H250" s="73"/>
      <c r="I250" s="82"/>
      <c r="J250" s="163"/>
    </row>
    <row r="251" spans="1:10" s="44" customFormat="1" hidden="1" x14ac:dyDescent="0.25">
      <c r="A251" s="229">
        <v>239</v>
      </c>
      <c r="B251" s="41"/>
      <c r="C251" s="42"/>
      <c r="D251" s="43"/>
      <c r="E251" s="73"/>
      <c r="F251" s="73"/>
      <c r="G251" s="73"/>
      <c r="H251" s="73"/>
      <c r="I251" s="82"/>
      <c r="J251" s="163"/>
    </row>
    <row r="252" spans="1:10" s="44" customFormat="1" hidden="1" x14ac:dyDescent="0.25">
      <c r="A252" s="229">
        <v>240</v>
      </c>
      <c r="B252" s="41"/>
      <c r="C252" s="42"/>
      <c r="D252" s="43"/>
      <c r="E252" s="73"/>
      <c r="F252" s="73"/>
      <c r="G252" s="73"/>
      <c r="H252" s="73"/>
      <c r="I252" s="82"/>
      <c r="J252" s="163"/>
    </row>
    <row r="253" spans="1:10" s="44" customFormat="1" hidden="1" x14ac:dyDescent="0.25">
      <c r="A253" s="229">
        <v>241</v>
      </c>
      <c r="B253" s="41"/>
      <c r="C253" s="42"/>
      <c r="D253" s="43"/>
      <c r="E253" s="73"/>
      <c r="F253" s="73"/>
      <c r="G253" s="73"/>
      <c r="H253" s="73"/>
      <c r="I253" s="82"/>
      <c r="J253" s="163"/>
    </row>
    <row r="254" spans="1:10" s="44" customFormat="1" hidden="1" x14ac:dyDescent="0.25">
      <c r="A254" s="229">
        <v>242</v>
      </c>
      <c r="B254" s="41"/>
      <c r="C254" s="42"/>
      <c r="D254" s="43"/>
      <c r="E254" s="73"/>
      <c r="F254" s="73"/>
      <c r="G254" s="73"/>
      <c r="H254" s="73"/>
      <c r="I254" s="82"/>
      <c r="J254" s="163"/>
    </row>
    <row r="255" spans="1:10" s="44" customFormat="1" hidden="1" x14ac:dyDescent="0.25">
      <c r="A255" s="229">
        <v>243</v>
      </c>
      <c r="B255" s="41"/>
      <c r="C255" s="42"/>
      <c r="D255" s="43"/>
      <c r="E255" s="73"/>
      <c r="F255" s="73"/>
      <c r="G255" s="73"/>
      <c r="H255" s="73"/>
      <c r="I255" s="82"/>
      <c r="J255" s="163"/>
    </row>
    <row r="256" spans="1:10" s="44" customFormat="1" hidden="1" x14ac:dyDescent="0.25">
      <c r="A256" s="229">
        <v>244</v>
      </c>
      <c r="B256" s="41"/>
      <c r="C256" s="42"/>
      <c r="D256" s="43"/>
      <c r="E256" s="73"/>
      <c r="F256" s="73"/>
      <c r="G256" s="73"/>
      <c r="H256" s="73"/>
      <c r="I256" s="82"/>
      <c r="J256" s="163"/>
    </row>
    <row r="257" spans="1:10" s="44" customFormat="1" hidden="1" x14ac:dyDescent="0.25">
      <c r="A257" s="229">
        <v>245</v>
      </c>
      <c r="B257" s="41"/>
      <c r="C257" s="42"/>
      <c r="D257" s="43"/>
      <c r="E257" s="73"/>
      <c r="F257" s="73"/>
      <c r="G257" s="73"/>
      <c r="H257" s="73"/>
      <c r="I257" s="82"/>
      <c r="J257" s="163"/>
    </row>
    <row r="258" spans="1:10" s="44" customFormat="1" hidden="1" x14ac:dyDescent="0.25">
      <c r="A258" s="229">
        <v>246</v>
      </c>
      <c r="B258" s="41"/>
      <c r="C258" s="42"/>
      <c r="D258" s="43"/>
      <c r="E258" s="73"/>
      <c r="F258" s="73"/>
      <c r="G258" s="73"/>
      <c r="H258" s="73"/>
      <c r="I258" s="82"/>
      <c r="J258" s="163"/>
    </row>
    <row r="259" spans="1:10" s="44" customFormat="1" hidden="1" x14ac:dyDescent="0.25">
      <c r="A259" s="229">
        <v>247</v>
      </c>
      <c r="B259" s="41"/>
      <c r="C259" s="42"/>
      <c r="D259" s="43"/>
      <c r="E259" s="73"/>
      <c r="F259" s="73"/>
      <c r="G259" s="73"/>
      <c r="H259" s="73"/>
      <c r="I259" s="82"/>
      <c r="J259" s="163"/>
    </row>
    <row r="260" spans="1:10" s="44" customFormat="1" hidden="1" x14ac:dyDescent="0.25">
      <c r="A260" s="229">
        <v>248</v>
      </c>
      <c r="B260" s="41"/>
      <c r="C260" s="42"/>
      <c r="D260" s="43"/>
      <c r="E260" s="73"/>
      <c r="F260" s="73"/>
      <c r="G260" s="73"/>
      <c r="H260" s="73"/>
      <c r="I260" s="82"/>
      <c r="J260" s="163"/>
    </row>
    <row r="261" spans="1:10" s="44" customFormat="1" hidden="1" x14ac:dyDescent="0.25">
      <c r="A261" s="229">
        <v>249</v>
      </c>
      <c r="B261" s="41"/>
      <c r="C261" s="42"/>
      <c r="D261" s="43"/>
      <c r="E261" s="73"/>
      <c r="F261" s="73"/>
      <c r="G261" s="73"/>
      <c r="H261" s="73"/>
      <c r="I261" s="82"/>
      <c r="J261" s="163"/>
    </row>
    <row r="262" spans="1:10" s="44" customFormat="1" hidden="1" x14ac:dyDescent="0.25">
      <c r="A262" s="229">
        <v>250</v>
      </c>
      <c r="B262" s="41"/>
      <c r="C262" s="42"/>
      <c r="D262" s="43"/>
      <c r="E262" s="73"/>
      <c r="F262" s="73"/>
      <c r="G262" s="73"/>
      <c r="H262" s="73"/>
      <c r="I262" s="82"/>
      <c r="J262" s="163"/>
    </row>
    <row r="263" spans="1:10" s="44" customFormat="1" hidden="1" x14ac:dyDescent="0.25">
      <c r="A263" s="229">
        <v>251</v>
      </c>
      <c r="B263" s="41"/>
      <c r="C263" s="42"/>
      <c r="D263" s="43"/>
      <c r="E263" s="73"/>
      <c r="F263" s="73"/>
      <c r="G263" s="73"/>
      <c r="H263" s="73"/>
      <c r="I263" s="82"/>
      <c r="J263" s="163"/>
    </row>
    <row r="264" spans="1:10" s="44" customFormat="1" hidden="1" x14ac:dyDescent="0.25">
      <c r="A264" s="229">
        <v>252</v>
      </c>
      <c r="B264" s="41"/>
      <c r="C264" s="42"/>
      <c r="D264" s="43"/>
      <c r="E264" s="73"/>
      <c r="F264" s="73"/>
      <c r="G264" s="73"/>
      <c r="H264" s="73"/>
      <c r="I264" s="82"/>
      <c r="J264" s="163"/>
    </row>
    <row r="265" spans="1:10" s="44" customFormat="1" hidden="1" x14ac:dyDescent="0.25">
      <c r="A265" s="229">
        <v>253</v>
      </c>
      <c r="B265" s="41"/>
      <c r="C265" s="42"/>
      <c r="D265" s="43"/>
      <c r="E265" s="73"/>
      <c r="F265" s="73"/>
      <c r="G265" s="73"/>
      <c r="H265" s="73"/>
      <c r="I265" s="82"/>
      <c r="J265" s="163"/>
    </row>
    <row r="266" spans="1:10" s="44" customFormat="1" hidden="1" x14ac:dyDescent="0.25">
      <c r="A266" s="229">
        <v>254</v>
      </c>
      <c r="B266" s="41"/>
      <c r="C266" s="42"/>
      <c r="D266" s="43"/>
      <c r="E266" s="73"/>
      <c r="F266" s="73"/>
      <c r="G266" s="73"/>
      <c r="H266" s="73"/>
      <c r="I266" s="82"/>
      <c r="J266" s="163"/>
    </row>
    <row r="267" spans="1:10" s="44" customFormat="1" hidden="1" x14ac:dyDescent="0.25">
      <c r="A267" s="229">
        <v>255</v>
      </c>
      <c r="B267" s="41"/>
      <c r="C267" s="42"/>
      <c r="D267" s="43"/>
      <c r="E267" s="73"/>
      <c r="F267" s="73"/>
      <c r="G267" s="73"/>
      <c r="H267" s="73"/>
      <c r="I267" s="82"/>
      <c r="J267" s="163"/>
    </row>
    <row r="268" spans="1:10" s="44" customFormat="1" hidden="1" x14ac:dyDescent="0.25">
      <c r="A268" s="229">
        <v>256</v>
      </c>
      <c r="B268" s="41"/>
      <c r="C268" s="42"/>
      <c r="D268" s="43"/>
      <c r="E268" s="73"/>
      <c r="F268" s="73"/>
      <c r="G268" s="73"/>
      <c r="H268" s="73"/>
      <c r="I268" s="82"/>
      <c r="J268" s="163"/>
    </row>
    <row r="269" spans="1:10" s="44" customFormat="1" hidden="1" x14ac:dyDescent="0.25">
      <c r="A269" s="229">
        <v>257</v>
      </c>
      <c r="B269" s="41"/>
      <c r="C269" s="42"/>
      <c r="D269" s="43"/>
      <c r="E269" s="73"/>
      <c r="F269" s="73"/>
      <c r="G269" s="73"/>
      <c r="H269" s="73"/>
      <c r="I269" s="82"/>
      <c r="J269" s="163"/>
    </row>
    <row r="270" spans="1:10" s="44" customFormat="1" hidden="1" x14ac:dyDescent="0.25">
      <c r="A270" s="229">
        <v>258</v>
      </c>
      <c r="B270" s="41"/>
      <c r="C270" s="42"/>
      <c r="D270" s="43"/>
      <c r="E270" s="73"/>
      <c r="F270" s="73"/>
      <c r="G270" s="73"/>
      <c r="H270" s="73"/>
      <c r="I270" s="82"/>
      <c r="J270" s="163"/>
    </row>
    <row r="271" spans="1:10" s="44" customFormat="1" hidden="1" x14ac:dyDescent="0.25">
      <c r="A271" s="229">
        <v>259</v>
      </c>
      <c r="B271" s="41"/>
      <c r="C271" s="42"/>
      <c r="D271" s="43"/>
      <c r="E271" s="73"/>
      <c r="F271" s="73"/>
      <c r="G271" s="73"/>
      <c r="H271" s="73"/>
      <c r="I271" s="82"/>
      <c r="J271" s="163"/>
    </row>
    <row r="272" spans="1:10" s="44" customFormat="1" hidden="1" x14ac:dyDescent="0.25">
      <c r="A272" s="229">
        <v>260</v>
      </c>
      <c r="B272" s="41"/>
      <c r="C272" s="42"/>
      <c r="D272" s="43"/>
      <c r="E272" s="73"/>
      <c r="F272" s="73"/>
      <c r="G272" s="73"/>
      <c r="H272" s="73"/>
      <c r="I272" s="82"/>
      <c r="J272" s="163"/>
    </row>
    <row r="273" spans="1:10" s="44" customFormat="1" hidden="1" x14ac:dyDescent="0.25">
      <c r="A273" s="229">
        <v>261</v>
      </c>
      <c r="B273" s="41"/>
      <c r="C273" s="42"/>
      <c r="D273" s="43"/>
      <c r="E273" s="73"/>
      <c r="F273" s="73"/>
      <c r="G273" s="73"/>
      <c r="H273" s="73"/>
      <c r="I273" s="82"/>
      <c r="J273" s="163"/>
    </row>
    <row r="274" spans="1:10" s="49" customFormat="1" hidden="1" x14ac:dyDescent="0.25">
      <c r="A274" s="229">
        <v>262</v>
      </c>
      <c r="B274" s="41"/>
      <c r="C274" s="10"/>
      <c r="D274" s="43"/>
      <c r="E274" s="234"/>
      <c r="F274" s="234"/>
      <c r="G274" s="73"/>
      <c r="H274" s="73"/>
      <c r="I274" s="82"/>
      <c r="J274" s="163"/>
    </row>
    <row r="275" spans="1:10" s="49" customFormat="1" hidden="1" x14ac:dyDescent="0.25">
      <c r="A275" s="229">
        <v>263</v>
      </c>
      <c r="B275" s="41"/>
      <c r="C275" s="10"/>
      <c r="D275" s="43"/>
      <c r="E275" s="234"/>
      <c r="F275" s="234"/>
      <c r="G275" s="73"/>
      <c r="H275" s="73"/>
      <c r="I275" s="82"/>
      <c r="J275" s="163"/>
    </row>
    <row r="276" spans="1:10" s="44" customFormat="1" hidden="1" x14ac:dyDescent="0.25">
      <c r="A276" s="229">
        <v>264</v>
      </c>
      <c r="B276" s="41"/>
      <c r="C276" s="42"/>
      <c r="D276" s="43"/>
      <c r="E276" s="73"/>
      <c r="F276" s="73"/>
      <c r="G276" s="73"/>
      <c r="H276" s="73"/>
      <c r="I276" s="82"/>
      <c r="J276" s="163"/>
    </row>
    <row r="277" spans="1:10" s="44" customFormat="1" hidden="1" x14ac:dyDescent="0.25">
      <c r="A277" s="229">
        <v>265</v>
      </c>
      <c r="B277" s="41"/>
      <c r="C277" s="48"/>
      <c r="D277" s="46"/>
      <c r="E277" s="73"/>
      <c r="F277" s="73"/>
      <c r="G277" s="73"/>
      <c r="H277" s="73"/>
      <c r="I277" s="82"/>
      <c r="J277" s="163"/>
    </row>
    <row r="278" spans="1:10" s="44" customFormat="1" hidden="1" x14ac:dyDescent="0.25">
      <c r="A278" s="229">
        <v>266</v>
      </c>
      <c r="B278" s="41"/>
      <c r="C278" s="48"/>
      <c r="D278" s="46"/>
      <c r="E278" s="73"/>
      <c r="F278" s="73"/>
      <c r="G278" s="73"/>
      <c r="H278" s="73"/>
      <c r="I278" s="82"/>
      <c r="J278" s="163"/>
    </row>
    <row r="279" spans="1:10" s="44" customFormat="1" hidden="1" x14ac:dyDescent="0.25">
      <c r="A279" s="229">
        <v>267</v>
      </c>
      <c r="B279" s="41"/>
      <c r="C279" s="48"/>
      <c r="D279" s="46"/>
      <c r="E279" s="73"/>
      <c r="F279" s="73"/>
      <c r="G279" s="73"/>
      <c r="H279" s="73"/>
      <c r="I279" s="82"/>
      <c r="J279" s="163"/>
    </row>
    <row r="280" spans="1:10" s="44" customFormat="1" hidden="1" x14ac:dyDescent="0.25">
      <c r="A280" s="229">
        <v>268</v>
      </c>
      <c r="B280" s="41"/>
      <c r="C280" s="48"/>
      <c r="D280" s="46"/>
      <c r="E280" s="73"/>
      <c r="F280" s="73"/>
      <c r="G280" s="73"/>
      <c r="H280" s="73"/>
      <c r="I280" s="82"/>
      <c r="J280" s="163"/>
    </row>
    <row r="281" spans="1:10" s="44" customFormat="1" hidden="1" x14ac:dyDescent="0.25">
      <c r="A281" s="229">
        <v>269</v>
      </c>
      <c r="B281" s="41"/>
      <c r="C281" s="48"/>
      <c r="D281" s="46"/>
      <c r="E281" s="73"/>
      <c r="F281" s="73"/>
      <c r="G281" s="73"/>
      <c r="H281" s="73"/>
      <c r="I281" s="82"/>
      <c r="J281" s="163"/>
    </row>
    <row r="282" spans="1:10" s="44" customFormat="1" hidden="1" x14ac:dyDescent="0.25">
      <c r="A282" s="229">
        <v>270</v>
      </c>
      <c r="B282" s="41"/>
      <c r="C282" s="48"/>
      <c r="D282" s="46"/>
      <c r="E282" s="73"/>
      <c r="F282" s="73"/>
      <c r="G282" s="73"/>
      <c r="H282" s="73"/>
      <c r="I282" s="82"/>
      <c r="J282" s="163"/>
    </row>
    <row r="283" spans="1:10" s="44" customFormat="1" hidden="1" x14ac:dyDescent="0.25">
      <c r="A283" s="229">
        <v>271</v>
      </c>
      <c r="B283" s="41"/>
      <c r="C283" s="48"/>
      <c r="D283" s="46"/>
      <c r="E283" s="73"/>
      <c r="F283" s="73"/>
      <c r="G283" s="73"/>
      <c r="H283" s="73"/>
      <c r="I283" s="82"/>
      <c r="J283" s="163"/>
    </row>
    <row r="284" spans="1:10" s="44" customFormat="1" hidden="1" x14ac:dyDescent="0.25">
      <c r="A284" s="229">
        <v>272</v>
      </c>
      <c r="B284" s="41"/>
      <c r="C284" s="48"/>
      <c r="D284" s="46"/>
      <c r="E284" s="73"/>
      <c r="F284" s="73"/>
      <c r="G284" s="73"/>
      <c r="H284" s="73"/>
      <c r="I284" s="82"/>
      <c r="J284" s="163"/>
    </row>
    <row r="285" spans="1:10" s="44" customFormat="1" hidden="1" x14ac:dyDescent="0.25">
      <c r="A285" s="229">
        <v>273</v>
      </c>
      <c r="B285" s="41"/>
      <c r="C285" s="48"/>
      <c r="D285" s="46"/>
      <c r="E285" s="73"/>
      <c r="F285" s="73"/>
      <c r="G285" s="73"/>
      <c r="H285" s="73"/>
      <c r="I285" s="82"/>
      <c r="J285" s="163"/>
    </row>
    <row r="286" spans="1:10" s="44" customFormat="1" hidden="1" x14ac:dyDescent="0.25">
      <c r="A286" s="229">
        <v>274</v>
      </c>
      <c r="B286" s="41"/>
      <c r="C286" s="48"/>
      <c r="D286" s="46"/>
      <c r="E286" s="73"/>
      <c r="F286" s="73"/>
      <c r="G286" s="73"/>
      <c r="H286" s="73"/>
      <c r="I286" s="82"/>
      <c r="J286" s="163"/>
    </row>
    <row r="287" spans="1:10" s="44" customFormat="1" hidden="1" x14ac:dyDescent="0.25">
      <c r="A287" s="229">
        <v>275</v>
      </c>
      <c r="B287" s="41"/>
      <c r="C287" s="48"/>
      <c r="D287" s="46"/>
      <c r="E287" s="73"/>
      <c r="F287" s="73"/>
      <c r="G287" s="73"/>
      <c r="H287" s="73"/>
      <c r="I287" s="82"/>
      <c r="J287" s="163"/>
    </row>
    <row r="288" spans="1:10" s="44" customFormat="1" hidden="1" x14ac:dyDescent="0.25">
      <c r="A288" s="229">
        <v>276</v>
      </c>
      <c r="B288" s="41"/>
      <c r="C288" s="48"/>
      <c r="D288" s="46"/>
      <c r="E288" s="73"/>
      <c r="F288" s="73"/>
      <c r="G288" s="73"/>
      <c r="H288" s="73"/>
      <c r="I288" s="82"/>
      <c r="J288" s="163"/>
    </row>
    <row r="289" spans="1:10" s="44" customFormat="1" hidden="1" x14ac:dyDescent="0.25">
      <c r="A289" s="229">
        <v>277</v>
      </c>
      <c r="B289" s="41"/>
      <c r="C289" s="48"/>
      <c r="D289" s="46"/>
      <c r="E289" s="73"/>
      <c r="F289" s="73"/>
      <c r="G289" s="73"/>
      <c r="H289" s="73"/>
      <c r="I289" s="82"/>
      <c r="J289" s="163"/>
    </row>
    <row r="290" spans="1:10" s="44" customFormat="1" hidden="1" x14ac:dyDescent="0.25">
      <c r="A290" s="229">
        <v>278</v>
      </c>
      <c r="B290" s="41"/>
      <c r="C290" s="48"/>
      <c r="D290" s="46"/>
      <c r="E290" s="73"/>
      <c r="F290" s="73"/>
      <c r="G290" s="73"/>
      <c r="H290" s="73"/>
      <c r="I290" s="82"/>
      <c r="J290" s="163"/>
    </row>
    <row r="291" spans="1:10" s="44" customFormat="1" hidden="1" x14ac:dyDescent="0.25">
      <c r="A291" s="229">
        <v>279</v>
      </c>
      <c r="B291" s="41"/>
      <c r="C291" s="48"/>
      <c r="D291" s="46"/>
      <c r="E291" s="73"/>
      <c r="F291" s="73"/>
      <c r="G291" s="73"/>
      <c r="H291" s="73"/>
      <c r="I291" s="82"/>
      <c r="J291" s="163"/>
    </row>
    <row r="292" spans="1:10" s="44" customFormat="1" hidden="1" x14ac:dyDescent="0.25">
      <c r="A292" s="229">
        <v>280</v>
      </c>
      <c r="B292" s="41"/>
      <c r="C292" s="48"/>
      <c r="D292" s="46"/>
      <c r="E292" s="73"/>
      <c r="F292" s="73"/>
      <c r="G292" s="73"/>
      <c r="H292" s="73"/>
      <c r="I292" s="82"/>
      <c r="J292" s="163"/>
    </row>
    <row r="293" spans="1:10" s="44" customFormat="1" hidden="1" x14ac:dyDescent="0.25">
      <c r="A293" s="229">
        <v>281</v>
      </c>
      <c r="B293" s="41"/>
      <c r="C293" s="48"/>
      <c r="D293" s="46"/>
      <c r="E293" s="73"/>
      <c r="F293" s="73"/>
      <c r="G293" s="73"/>
      <c r="H293" s="73"/>
      <c r="I293" s="82"/>
      <c r="J293" s="163"/>
    </row>
    <row r="294" spans="1:10" s="44" customFormat="1" hidden="1" x14ac:dyDescent="0.25">
      <c r="A294" s="229">
        <v>282</v>
      </c>
      <c r="B294" s="41"/>
      <c r="C294" s="48"/>
      <c r="D294" s="46"/>
      <c r="E294" s="73"/>
      <c r="F294" s="73"/>
      <c r="G294" s="73"/>
      <c r="H294" s="73"/>
      <c r="I294" s="82"/>
      <c r="J294" s="163"/>
    </row>
    <row r="295" spans="1:10" s="44" customFormat="1" hidden="1" x14ac:dyDescent="0.25">
      <c r="A295" s="229">
        <v>283</v>
      </c>
      <c r="B295" s="41"/>
      <c r="C295" s="48"/>
      <c r="D295" s="46"/>
      <c r="E295" s="73"/>
      <c r="F295" s="73"/>
      <c r="G295" s="73"/>
      <c r="H295" s="73"/>
      <c r="I295" s="82"/>
      <c r="J295" s="163"/>
    </row>
    <row r="296" spans="1:10" s="44" customFormat="1" hidden="1" x14ac:dyDescent="0.25">
      <c r="A296" s="229">
        <v>284</v>
      </c>
      <c r="B296" s="41"/>
      <c r="C296" s="48"/>
      <c r="D296" s="46"/>
      <c r="E296" s="73"/>
      <c r="F296" s="73"/>
      <c r="G296" s="73"/>
      <c r="H296" s="73"/>
      <c r="I296" s="82"/>
      <c r="J296" s="163"/>
    </row>
    <row r="297" spans="1:10" s="44" customFormat="1" hidden="1" x14ac:dyDescent="0.25">
      <c r="A297" s="229">
        <v>285</v>
      </c>
      <c r="B297" s="41"/>
      <c r="C297" s="48"/>
      <c r="D297" s="46"/>
      <c r="E297" s="73"/>
      <c r="F297" s="73"/>
      <c r="G297" s="73"/>
      <c r="H297" s="73"/>
      <c r="I297" s="82"/>
      <c r="J297" s="163"/>
    </row>
    <row r="298" spans="1:10" s="44" customFormat="1" hidden="1" x14ac:dyDescent="0.25">
      <c r="A298" s="229">
        <v>286</v>
      </c>
      <c r="B298" s="41"/>
      <c r="C298" s="48"/>
      <c r="D298" s="46"/>
      <c r="E298" s="73"/>
      <c r="F298" s="73"/>
      <c r="G298" s="73"/>
      <c r="H298" s="73"/>
      <c r="I298" s="82"/>
      <c r="J298" s="163"/>
    </row>
    <row r="299" spans="1:10" s="44" customFormat="1" hidden="1" x14ac:dyDescent="0.25">
      <c r="A299" s="229">
        <v>287</v>
      </c>
      <c r="B299" s="41"/>
      <c r="C299" s="48"/>
      <c r="D299" s="46"/>
      <c r="E299" s="73"/>
      <c r="F299" s="73"/>
      <c r="G299" s="73"/>
      <c r="H299" s="73"/>
      <c r="I299" s="82"/>
      <c r="J299" s="163"/>
    </row>
    <row r="300" spans="1:10" s="44" customFormat="1" hidden="1" x14ac:dyDescent="0.25">
      <c r="A300" s="229">
        <v>288</v>
      </c>
      <c r="B300" s="41"/>
      <c r="C300" s="48"/>
      <c r="D300" s="46"/>
      <c r="E300" s="73"/>
      <c r="F300" s="73"/>
      <c r="G300" s="73"/>
      <c r="H300" s="73"/>
      <c r="I300" s="82"/>
      <c r="J300" s="163"/>
    </row>
    <row r="301" spans="1:10" s="44" customFormat="1" hidden="1" x14ac:dyDescent="0.25">
      <c r="A301" s="229">
        <v>289</v>
      </c>
      <c r="B301" s="41"/>
      <c r="C301" s="48"/>
      <c r="D301" s="46"/>
      <c r="E301" s="73"/>
      <c r="F301" s="73"/>
      <c r="G301" s="73"/>
      <c r="H301" s="73"/>
      <c r="I301" s="82"/>
      <c r="J301" s="163"/>
    </row>
    <row r="302" spans="1:10" s="44" customFormat="1" hidden="1" x14ac:dyDescent="0.25">
      <c r="A302" s="229">
        <v>290</v>
      </c>
      <c r="B302" s="41"/>
      <c r="C302" s="48"/>
      <c r="D302" s="46"/>
      <c r="E302" s="73"/>
      <c r="F302" s="73"/>
      <c r="G302" s="73"/>
      <c r="H302" s="73"/>
      <c r="I302" s="82"/>
      <c r="J302" s="163"/>
    </row>
    <row r="303" spans="1:10" s="44" customFormat="1" hidden="1" x14ac:dyDescent="0.25">
      <c r="A303" s="229">
        <v>291</v>
      </c>
      <c r="B303" s="41"/>
      <c r="C303" s="42"/>
      <c r="D303" s="43"/>
      <c r="E303" s="73"/>
      <c r="F303" s="73"/>
      <c r="G303" s="73"/>
      <c r="H303" s="73"/>
      <c r="I303" s="82"/>
      <c r="J303" s="163"/>
    </row>
    <row r="304" spans="1:10" s="44" customFormat="1" hidden="1" x14ac:dyDescent="0.25">
      <c r="A304" s="229">
        <v>292</v>
      </c>
      <c r="B304" s="41"/>
      <c r="C304" s="42"/>
      <c r="D304" s="43"/>
      <c r="E304" s="73"/>
      <c r="F304" s="73"/>
      <c r="G304" s="73"/>
      <c r="H304" s="73"/>
      <c r="I304" s="82"/>
      <c r="J304" s="163"/>
    </row>
    <row r="305" spans="1:10" s="227" customFormat="1" hidden="1" x14ac:dyDescent="0.25">
      <c r="A305" s="229">
        <v>293</v>
      </c>
      <c r="B305" s="202"/>
      <c r="C305" s="10"/>
      <c r="D305" s="8"/>
      <c r="E305" s="25">
        <v>1</v>
      </c>
      <c r="F305" s="25"/>
      <c r="G305" s="25"/>
      <c r="H305" s="25"/>
      <c r="I305" s="25"/>
      <c r="J305" s="88"/>
    </row>
    <row r="306" spans="1:10" s="227" customFormat="1" hidden="1" x14ac:dyDescent="0.25">
      <c r="A306" s="229">
        <v>294</v>
      </c>
      <c r="B306" s="202"/>
      <c r="C306" s="10"/>
      <c r="D306" s="8"/>
      <c r="E306" s="8"/>
      <c r="F306" s="25"/>
      <c r="G306" s="25"/>
      <c r="H306" s="25"/>
      <c r="I306" s="25"/>
      <c r="J306" s="88"/>
    </row>
    <row r="307" spans="1:10" x14ac:dyDescent="0.25">
      <c r="A307" s="229">
        <v>295</v>
      </c>
      <c r="B307" s="71" t="s">
        <v>65</v>
      </c>
      <c r="C307" s="6"/>
      <c r="D307" s="8"/>
      <c r="E307" s="8"/>
      <c r="F307" s="25"/>
      <c r="G307" s="25"/>
      <c r="H307" s="25"/>
      <c r="I307" s="25"/>
      <c r="J307" s="88"/>
    </row>
    <row r="308" spans="1:10" x14ac:dyDescent="0.25">
      <c r="A308" s="229">
        <v>296</v>
      </c>
      <c r="B308" s="50" t="s">
        <v>7</v>
      </c>
      <c r="C308" s="10" t="s">
        <v>4</v>
      </c>
      <c r="D308" s="8">
        <v>1</v>
      </c>
      <c r="E308" s="8"/>
      <c r="F308" s="34">
        <v>4000</v>
      </c>
      <c r="G308" s="34"/>
      <c r="H308" s="34">
        <f>D308*F308</f>
        <v>4000</v>
      </c>
      <c r="I308" s="34"/>
      <c r="J308" s="172">
        <f>H308</f>
        <v>4000</v>
      </c>
    </row>
    <row r="309" spans="1:10" x14ac:dyDescent="0.25">
      <c r="A309" s="229">
        <v>297</v>
      </c>
      <c r="B309" s="51" t="s">
        <v>12</v>
      </c>
      <c r="C309" s="23" t="s">
        <v>11</v>
      </c>
      <c r="D309" s="24">
        <v>7</v>
      </c>
      <c r="E309" s="24"/>
      <c r="F309" s="35">
        <v>1500</v>
      </c>
      <c r="G309" s="35"/>
      <c r="H309" s="34">
        <f>D309*F309</f>
        <v>10500</v>
      </c>
      <c r="I309" s="35"/>
      <c r="J309" s="172">
        <f>H309</f>
        <v>10500</v>
      </c>
    </row>
    <row r="310" spans="1:10" x14ac:dyDescent="0.25">
      <c r="A310" s="229">
        <v>298</v>
      </c>
      <c r="B310" s="52" t="s">
        <v>5</v>
      </c>
      <c r="C310" s="27" t="s">
        <v>6</v>
      </c>
      <c r="D310" s="25">
        <v>0</v>
      </c>
      <c r="E310" s="25"/>
      <c r="F310" s="25">
        <v>800</v>
      </c>
      <c r="G310" s="25"/>
      <c r="H310" s="34">
        <f>D310*F310</f>
        <v>0</v>
      </c>
      <c r="I310" s="25"/>
      <c r="J310" s="172">
        <f>H310</f>
        <v>0</v>
      </c>
    </row>
    <row r="311" spans="1:10" x14ac:dyDescent="0.25">
      <c r="A311" s="229">
        <v>299</v>
      </c>
      <c r="B311" s="45" t="s">
        <v>36</v>
      </c>
      <c r="C311" s="42"/>
      <c r="D311" s="43">
        <v>1</v>
      </c>
      <c r="E311" s="43"/>
      <c r="F311" s="73"/>
      <c r="G311" s="73"/>
      <c r="H311" s="34">
        <f>D311*F311</f>
        <v>0</v>
      </c>
      <c r="I311" s="73"/>
      <c r="J311" s="82"/>
    </row>
    <row r="312" spans="1:10" x14ac:dyDescent="0.25">
      <c r="A312" s="229">
        <v>300</v>
      </c>
      <c r="B312" s="45" t="s">
        <v>33</v>
      </c>
      <c r="C312" s="42"/>
      <c r="D312" s="43"/>
      <c r="E312" s="43"/>
      <c r="F312" s="94"/>
      <c r="G312" s="95"/>
      <c r="H312" s="95">
        <f>SUM(H13:H311)</f>
        <v>14500</v>
      </c>
      <c r="I312" s="95">
        <f>SUM(I13:I311)</f>
        <v>0</v>
      </c>
      <c r="J312" s="96">
        <f>SUM(J13:J311)</f>
        <v>14500</v>
      </c>
    </row>
    <row r="313" spans="1:10" x14ac:dyDescent="0.25">
      <c r="A313" s="229">
        <v>301</v>
      </c>
      <c r="B313" s="45" t="s">
        <v>227</v>
      </c>
      <c r="C313" s="48" t="s">
        <v>34</v>
      </c>
      <c r="D313" s="46">
        <v>5</v>
      </c>
      <c r="E313" s="46"/>
      <c r="F313" s="95"/>
      <c r="G313" s="95"/>
      <c r="H313" s="95">
        <f>H312*D313/100</f>
        <v>725</v>
      </c>
      <c r="I313" s="95"/>
      <c r="J313" s="96"/>
    </row>
    <row r="314" spans="1:10" ht="25.5" x14ac:dyDescent="0.25">
      <c r="A314" s="229">
        <v>302</v>
      </c>
      <c r="B314" s="45" t="s">
        <v>75</v>
      </c>
      <c r="C314" s="48" t="s">
        <v>34</v>
      </c>
      <c r="D314" s="46">
        <v>5</v>
      </c>
      <c r="E314" s="46"/>
      <c r="F314" s="95"/>
      <c r="G314" s="95"/>
      <c r="H314" s="95"/>
      <c r="I314" s="95">
        <f>I312*D314/100</f>
        <v>0</v>
      </c>
      <c r="J314" s="96"/>
    </row>
    <row r="315" spans="1:10" ht="15" customHeight="1" x14ac:dyDescent="0.25">
      <c r="A315" s="229">
        <v>303</v>
      </c>
      <c r="B315" s="277" t="s">
        <v>358</v>
      </c>
      <c r="C315" s="48" t="s">
        <v>34</v>
      </c>
      <c r="D315" s="46">
        <v>25</v>
      </c>
      <c r="E315" s="46"/>
      <c r="F315" s="95"/>
      <c r="G315" s="95"/>
      <c r="H315" s="95">
        <f>H312*D315/100</f>
        <v>3625</v>
      </c>
      <c r="I315" s="95"/>
      <c r="J315" s="96"/>
    </row>
    <row r="316" spans="1:10" x14ac:dyDescent="0.25">
      <c r="A316" s="229">
        <v>304</v>
      </c>
      <c r="B316" s="278"/>
      <c r="C316" s="48" t="s">
        <v>34</v>
      </c>
      <c r="D316" s="46">
        <v>10</v>
      </c>
      <c r="E316" s="46"/>
      <c r="F316" s="95"/>
      <c r="G316" s="95"/>
      <c r="H316" s="95"/>
      <c r="I316" s="95">
        <f>I312*D316/100</f>
        <v>0</v>
      </c>
      <c r="J316" s="96"/>
    </row>
    <row r="317" spans="1:10" x14ac:dyDescent="0.25">
      <c r="A317" s="229">
        <v>305</v>
      </c>
      <c r="B317" s="45" t="s">
        <v>35</v>
      </c>
      <c r="C317" s="97"/>
      <c r="D317" s="97"/>
      <c r="E317" s="97"/>
      <c r="F317" s="95"/>
      <c r="G317" s="95"/>
      <c r="H317" s="95">
        <f>SUM(H312:H315)</f>
        <v>18850</v>
      </c>
      <c r="I317" s="95">
        <f>SUM(I312:I316)</f>
        <v>0</v>
      </c>
      <c r="J317" s="96"/>
    </row>
    <row r="318" spans="1:10" x14ac:dyDescent="0.25">
      <c r="A318" s="229">
        <v>306</v>
      </c>
      <c r="B318" s="240" t="s">
        <v>359</v>
      </c>
      <c r="C318" s="64"/>
      <c r="D318" s="64"/>
      <c r="E318" s="72"/>
      <c r="F318" s="65"/>
      <c r="G318" s="65"/>
      <c r="H318" s="65"/>
      <c r="I318" s="65"/>
      <c r="J318" s="96">
        <f>H317+I317</f>
        <v>18850</v>
      </c>
    </row>
    <row r="319" spans="1:10" x14ac:dyDescent="0.25">
      <c r="A319" s="54"/>
      <c r="B319" s="28" t="s">
        <v>361</v>
      </c>
      <c r="C319" s="13"/>
      <c r="D319" s="14"/>
      <c r="E319" s="14"/>
      <c r="F319" s="226"/>
      <c r="G319" s="226"/>
      <c r="H319" s="226"/>
      <c r="I319" s="226"/>
      <c r="J319" s="239"/>
    </row>
    <row r="320" spans="1:10" ht="25.5" hidden="1" customHeight="1" x14ac:dyDescent="0.25">
      <c r="A320" s="54"/>
      <c r="B320" s="276" t="s">
        <v>229</v>
      </c>
      <c r="C320" s="276"/>
      <c r="D320" s="276"/>
      <c r="E320" s="276"/>
      <c r="F320" s="276"/>
      <c r="G320" s="276"/>
      <c r="H320" s="276"/>
      <c r="I320" s="276"/>
      <c r="J320" s="276"/>
    </row>
    <row r="321" spans="1:10" x14ac:dyDescent="0.25">
      <c r="A321" s="53"/>
      <c r="B321" s="29"/>
      <c r="C321" s="15"/>
      <c r="D321" s="16"/>
      <c r="E321" s="16"/>
      <c r="F321" s="37"/>
      <c r="G321" s="37"/>
      <c r="H321" s="37"/>
      <c r="I321" s="37"/>
      <c r="J321" s="175"/>
    </row>
    <row r="322" spans="1:10" x14ac:dyDescent="0.25">
      <c r="A322" s="53"/>
      <c r="B322" s="30" t="s">
        <v>8</v>
      </c>
      <c r="C322" s="18"/>
      <c r="D322" s="56" t="s">
        <v>9</v>
      </c>
      <c r="E322" s="56"/>
      <c r="J322" s="176"/>
    </row>
    <row r="323" spans="1:10" ht="15.75" thickBot="1" x14ac:dyDescent="0.3">
      <c r="A323" s="53"/>
      <c r="B323" s="31"/>
      <c r="C323" s="18"/>
      <c r="D323" s="20"/>
      <c r="E323" s="20"/>
      <c r="F323" s="38"/>
      <c r="G323" s="38"/>
      <c r="H323" s="38"/>
      <c r="I323" s="38"/>
      <c r="J323" s="177"/>
    </row>
  </sheetData>
  <mergeCells count="6">
    <mergeCell ref="B320:J320"/>
    <mergeCell ref="B2:D2"/>
    <mergeCell ref="B3:D3"/>
    <mergeCell ref="A9:J9"/>
    <mergeCell ref="A10:J10"/>
    <mergeCell ref="B315:B3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3" sqref="B3"/>
    </sheetView>
  </sheetViews>
  <sheetFormatPr defaultRowHeight="15" x14ac:dyDescent="0.25"/>
  <cols>
    <col min="1" max="2" width="24.7109375" customWidth="1"/>
    <col min="3" max="3" width="17.5703125" customWidth="1"/>
    <col min="4" max="4" width="26.85546875" customWidth="1"/>
    <col min="5" max="5" width="17.5703125" customWidth="1"/>
    <col min="6" max="6" width="22.140625" customWidth="1"/>
    <col min="7" max="7" width="27.85546875" customWidth="1"/>
  </cols>
  <sheetData>
    <row r="1" spans="1:7" x14ac:dyDescent="0.25">
      <c r="A1" t="s">
        <v>350</v>
      </c>
    </row>
    <row r="2" spans="1:7" x14ac:dyDescent="0.25">
      <c r="A2" t="s">
        <v>354</v>
      </c>
      <c r="B2" t="s">
        <v>353</v>
      </c>
      <c r="C2" t="s">
        <v>351</v>
      </c>
      <c r="D2" t="s">
        <v>357</v>
      </c>
      <c r="E2" t="s">
        <v>352</v>
      </c>
      <c r="F2" t="s">
        <v>355</v>
      </c>
      <c r="G2" t="s">
        <v>356</v>
      </c>
    </row>
    <row r="3" spans="1:7" s="233" customFormat="1" x14ac:dyDescent="0.25">
      <c r="A3" s="233">
        <f>1.53+0.71+1.785+0.705+1.1+1.195+1.785+0.52+3.45+1.89+0.62+1.785+0.815+0.26+0.9+0.38+0.8+1.19+0.83+0.9+1.89+2.055+1.275</f>
        <v>28.369999999999997</v>
      </c>
      <c r="B3" s="233">
        <f>3.08+0.46+0.55+0.9+0.1+0.95+0.8+1.16+1.19+0.83+0.48</f>
        <v>10.5</v>
      </c>
      <c r="C3" s="233">
        <v>3</v>
      </c>
      <c r="D3" s="233">
        <f>A3*C3+B3*3-E3-F3-G3</f>
        <v>98.494499999999974</v>
      </c>
      <c r="E3" s="233">
        <f>1.275*1.6</f>
        <v>2.04</v>
      </c>
      <c r="F3" s="233">
        <f>3*(1.785*2.1)</f>
        <v>11.2455</v>
      </c>
      <c r="G3" s="233">
        <f>0.7*2.1*2+0.9*2.1</f>
        <v>4.83</v>
      </c>
    </row>
    <row r="4" spans="1:7" s="233" customFormat="1" x14ac:dyDescent="0.25"/>
    <row r="5" spans="1:7" s="233" customFormat="1" x14ac:dyDescent="0.25"/>
    <row r="6" spans="1:7" s="233" customFormat="1" x14ac:dyDescent="0.25"/>
    <row r="7" spans="1:7" s="233" customFormat="1" x14ac:dyDescent="0.25"/>
    <row r="8" spans="1:7" s="233" customFormat="1" x14ac:dyDescent="0.25"/>
    <row r="9" spans="1:7" s="233" customFormat="1" x14ac:dyDescent="0.25"/>
    <row r="10" spans="1:7" s="233" customFormat="1" x14ac:dyDescent="0.25"/>
    <row r="11" spans="1:7" s="233" customFormat="1" x14ac:dyDescent="0.25"/>
    <row r="12" spans="1:7" s="233" customFormat="1" x14ac:dyDescent="0.25"/>
    <row r="13" spans="1:7" s="233" customFormat="1" x14ac:dyDescent="0.25"/>
    <row r="14" spans="1:7" s="233" customFormat="1" x14ac:dyDescent="0.25"/>
    <row r="15" spans="1:7" s="233" customFormat="1" x14ac:dyDescent="0.25"/>
    <row r="16" spans="1:7" s="233" customFormat="1" x14ac:dyDescent="0.25"/>
    <row r="17" s="233" customFormat="1" x14ac:dyDescent="0.25"/>
    <row r="18" s="233" customFormat="1" x14ac:dyDescent="0.25"/>
    <row r="19" s="233" customFormat="1" x14ac:dyDescent="0.25"/>
    <row r="20" s="233" customFormat="1" x14ac:dyDescent="0.25"/>
    <row r="21" s="233" customFormat="1" x14ac:dyDescent="0.25"/>
    <row r="22" s="233" customFormat="1" x14ac:dyDescent="0.25"/>
    <row r="23" s="233" customFormat="1" x14ac:dyDescent="0.25"/>
    <row r="24" s="233" customFormat="1" x14ac:dyDescent="0.25"/>
    <row r="25" s="233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5"/>
  <sheetViews>
    <sheetView topLeftCell="A86" zoomScale="90" zoomScaleNormal="90" workbookViewId="0">
      <selection sqref="A1:IV8"/>
    </sheetView>
  </sheetViews>
  <sheetFormatPr defaultRowHeight="12.75" x14ac:dyDescent="0.25"/>
  <cols>
    <col min="1" max="1" width="4.5703125" style="55" customWidth="1"/>
    <col min="2" max="2" width="49.42578125" style="26" customWidth="1"/>
    <col min="3" max="3" width="8.28515625" style="7" customWidth="1"/>
    <col min="4" max="4" width="10.5703125" style="11" customWidth="1"/>
    <col min="5" max="5" width="15" style="40" customWidth="1"/>
    <col min="6" max="7" width="17.28515625" style="40" customWidth="1"/>
    <col min="8" max="8" width="17.140625" style="40" customWidth="1"/>
    <col min="9" max="9" width="15.28515625" style="12" customWidth="1"/>
    <col min="10" max="10" width="3.85546875" style="7" customWidth="1"/>
    <col min="11" max="11" width="19" style="7" customWidth="1"/>
    <col min="12" max="16384" width="9.140625" style="7"/>
  </cols>
  <sheetData>
    <row r="1" spans="1:9" x14ac:dyDescent="0.25">
      <c r="H1" s="40" t="s">
        <v>327</v>
      </c>
    </row>
    <row r="2" spans="1:9" ht="90" customHeight="1" x14ac:dyDescent="0.25">
      <c r="B2" s="274"/>
      <c r="C2" s="274"/>
      <c r="D2" s="274"/>
    </row>
    <row r="3" spans="1:9" ht="26.25" customHeight="1" x14ac:dyDescent="0.25">
      <c r="A3" s="164"/>
      <c r="B3" s="275" t="s">
        <v>171</v>
      </c>
      <c r="C3" s="275"/>
      <c r="D3" s="275"/>
    </row>
    <row r="4" spans="1:9" ht="15" x14ac:dyDescent="0.25">
      <c r="A4" s="164"/>
      <c r="B4" s="36"/>
      <c r="C4" s="36"/>
      <c r="D4" s="36"/>
    </row>
    <row r="5" spans="1:9" x14ac:dyDescent="0.25">
      <c r="B5" s="60" t="s">
        <v>39</v>
      </c>
      <c r="G5" s="61" t="s">
        <v>40</v>
      </c>
    </row>
    <row r="6" spans="1:9" x14ac:dyDescent="0.25">
      <c r="B6" s="57"/>
      <c r="G6" s="58"/>
      <c r="H6" s="58"/>
      <c r="I6" s="59"/>
    </row>
    <row r="7" spans="1:9" x14ac:dyDescent="0.25">
      <c r="B7" s="68"/>
      <c r="G7" s="69"/>
      <c r="H7" s="69"/>
      <c r="I7" s="70"/>
    </row>
    <row r="9" spans="1:9" s="4" customFormat="1" ht="20.25" x14ac:dyDescent="0.2">
      <c r="A9" s="273" t="s">
        <v>38</v>
      </c>
      <c r="B9" s="273"/>
      <c r="C9" s="273"/>
      <c r="D9" s="273"/>
      <c r="E9" s="273"/>
      <c r="F9" s="273"/>
      <c r="G9" s="273"/>
      <c r="H9" s="273"/>
      <c r="I9" s="273"/>
    </row>
    <row r="10" spans="1:9" s="4" customFormat="1" ht="31.5" customHeight="1" x14ac:dyDescent="0.25">
      <c r="A10" s="279" t="s">
        <v>329</v>
      </c>
      <c r="B10" s="279"/>
      <c r="C10" s="279"/>
      <c r="D10" s="279"/>
      <c r="E10" s="279"/>
      <c r="F10" s="279"/>
      <c r="G10" s="279"/>
      <c r="H10" s="279"/>
      <c r="I10" s="279"/>
    </row>
    <row r="11" spans="1:9" x14ac:dyDescent="0.2">
      <c r="A11" s="220" t="s">
        <v>325</v>
      </c>
      <c r="B11" s="220"/>
      <c r="C11" s="220"/>
      <c r="D11" s="220"/>
      <c r="E11" s="220"/>
      <c r="F11" s="220"/>
      <c r="G11" s="221">
        <f>I155</f>
        <v>688946.04934974003</v>
      </c>
      <c r="H11" s="222" t="s">
        <v>326</v>
      </c>
      <c r="I11" s="223"/>
    </row>
    <row r="12" spans="1:9" s="5" customFormat="1" ht="89.25" customHeight="1" x14ac:dyDescent="0.25">
      <c r="A12" s="83" t="s">
        <v>0</v>
      </c>
      <c r="B12" s="84" t="s">
        <v>1</v>
      </c>
      <c r="C12" s="85" t="s">
        <v>10</v>
      </c>
      <c r="D12" s="85" t="s">
        <v>2</v>
      </c>
      <c r="E12" s="84" t="s">
        <v>13</v>
      </c>
      <c r="F12" s="84" t="s">
        <v>14</v>
      </c>
      <c r="G12" s="84" t="s">
        <v>15</v>
      </c>
      <c r="H12" s="84" t="s">
        <v>16</v>
      </c>
      <c r="I12" s="171" t="s">
        <v>17</v>
      </c>
    </row>
    <row r="13" spans="1:9" s="55" customFormat="1" ht="15" x14ac:dyDescent="0.25">
      <c r="A13" s="118">
        <v>1</v>
      </c>
      <c r="B13" s="87" t="s">
        <v>134</v>
      </c>
      <c r="C13" s="127"/>
      <c r="D13" s="127"/>
      <c r="E13" s="128"/>
      <c r="F13" s="128"/>
      <c r="G13" s="118"/>
      <c r="H13" s="118"/>
      <c r="I13" s="157"/>
    </row>
    <row r="14" spans="1:9" s="9" customFormat="1" ht="25.5" x14ac:dyDescent="0.25">
      <c r="A14" s="118">
        <v>2</v>
      </c>
      <c r="B14" s="45" t="s">
        <v>321</v>
      </c>
      <c r="C14" s="48" t="s">
        <v>20</v>
      </c>
      <c r="D14" s="46">
        <v>41.53</v>
      </c>
      <c r="E14" s="89">
        <v>550</v>
      </c>
      <c r="F14" s="89">
        <f>D14*E14</f>
        <v>22841.5</v>
      </c>
      <c r="G14" s="89"/>
      <c r="H14" s="89"/>
      <c r="I14" s="90">
        <f>F14</f>
        <v>22841.5</v>
      </c>
    </row>
    <row r="15" spans="1:9" s="44" customFormat="1" ht="36.75" customHeight="1" x14ac:dyDescent="0.25">
      <c r="A15" s="118">
        <v>3</v>
      </c>
      <c r="B15" s="41" t="s">
        <v>281</v>
      </c>
      <c r="C15" s="42" t="s">
        <v>19</v>
      </c>
      <c r="D15" s="43">
        <f>17*D14</f>
        <v>706.01</v>
      </c>
      <c r="E15" s="73"/>
      <c r="F15" s="73"/>
      <c r="G15" s="73">
        <v>21.2</v>
      </c>
      <c r="H15" s="73">
        <f>D15*G15</f>
        <v>14967.411999999998</v>
      </c>
      <c r="I15" s="82">
        <f>H15</f>
        <v>14967.411999999998</v>
      </c>
    </row>
    <row r="16" spans="1:9" s="9" customFormat="1" ht="19.5" customHeight="1" x14ac:dyDescent="0.25">
      <c r="A16" s="118">
        <v>5</v>
      </c>
      <c r="B16" s="45" t="s">
        <v>114</v>
      </c>
      <c r="C16" s="48" t="s">
        <v>18</v>
      </c>
      <c r="D16" s="46">
        <v>4.5</v>
      </c>
      <c r="E16" s="89">
        <v>60</v>
      </c>
      <c r="F16" s="89">
        <f>D16*E16</f>
        <v>270</v>
      </c>
      <c r="G16" s="89"/>
      <c r="H16" s="89"/>
      <c r="I16" s="90">
        <f>F16</f>
        <v>270</v>
      </c>
    </row>
    <row r="17" spans="1:9" s="9" customFormat="1" ht="25.5" x14ac:dyDescent="0.25">
      <c r="A17" s="118">
        <v>6</v>
      </c>
      <c r="B17" s="45" t="s">
        <v>280</v>
      </c>
      <c r="C17" s="48" t="s">
        <v>20</v>
      </c>
      <c r="D17" s="46">
        <v>11.942400000000001</v>
      </c>
      <c r="E17" s="89">
        <v>600</v>
      </c>
      <c r="F17" s="89">
        <f>D17*E17</f>
        <v>7165.4400000000005</v>
      </c>
      <c r="G17" s="89"/>
      <c r="H17" s="89"/>
      <c r="I17" s="90">
        <f>F17</f>
        <v>7165.4400000000005</v>
      </c>
    </row>
    <row r="18" spans="1:9" s="44" customFormat="1" x14ac:dyDescent="0.25">
      <c r="A18" s="118">
        <v>7.3</v>
      </c>
      <c r="B18" s="41" t="s">
        <v>117</v>
      </c>
      <c r="C18" s="42" t="s">
        <v>20</v>
      </c>
      <c r="D18" s="43">
        <f>D17*2</f>
        <v>23.884800000000002</v>
      </c>
      <c r="E18" s="73"/>
      <c r="F18" s="73"/>
      <c r="G18" s="73">
        <v>95</v>
      </c>
      <c r="H18" s="73">
        <f t="shared" ref="H18:H24" si="0">D18*G18</f>
        <v>2269.056</v>
      </c>
      <c r="I18" s="82">
        <f>H18</f>
        <v>2269.056</v>
      </c>
    </row>
    <row r="19" spans="1:9" s="44" customFormat="1" x14ac:dyDescent="0.25">
      <c r="A19" s="118">
        <v>8.6</v>
      </c>
      <c r="B19" s="41" t="s">
        <v>115</v>
      </c>
      <c r="C19" s="42" t="s">
        <v>18</v>
      </c>
      <c r="D19" s="43">
        <v>27.46752</v>
      </c>
      <c r="E19" s="73"/>
      <c r="F19" s="73"/>
      <c r="G19" s="73">
        <v>89</v>
      </c>
      <c r="H19" s="73">
        <f t="shared" si="0"/>
        <v>2444.6092800000001</v>
      </c>
      <c r="I19" s="82">
        <f t="shared" ref="I19:I24" si="1">H19</f>
        <v>2444.6092800000001</v>
      </c>
    </row>
    <row r="20" spans="1:9" s="44" customFormat="1" x14ac:dyDescent="0.25">
      <c r="A20" s="118">
        <v>9.9</v>
      </c>
      <c r="B20" s="41" t="s">
        <v>116</v>
      </c>
      <c r="C20" s="42" t="s">
        <v>18</v>
      </c>
      <c r="D20" s="43">
        <v>26.273280000000003</v>
      </c>
      <c r="E20" s="73"/>
      <c r="F20" s="73"/>
      <c r="G20" s="73">
        <v>59.333333333333336</v>
      </c>
      <c r="H20" s="73">
        <f t="shared" si="0"/>
        <v>1558.8812800000003</v>
      </c>
      <c r="I20" s="82">
        <f t="shared" si="1"/>
        <v>1558.8812800000003</v>
      </c>
    </row>
    <row r="21" spans="1:9" s="44" customFormat="1" x14ac:dyDescent="0.25">
      <c r="A21" s="118">
        <v>11.2</v>
      </c>
      <c r="B21" s="41" t="s">
        <v>100</v>
      </c>
      <c r="C21" s="42" t="s">
        <v>20</v>
      </c>
      <c r="D21" s="43">
        <v>11.942400000000001</v>
      </c>
      <c r="E21" s="73"/>
      <c r="F21" s="73"/>
      <c r="G21" s="73">
        <v>128.33333333333334</v>
      </c>
      <c r="H21" s="73">
        <f t="shared" si="0"/>
        <v>1532.6080000000002</v>
      </c>
      <c r="I21" s="82">
        <f t="shared" si="1"/>
        <v>1532.6080000000002</v>
      </c>
    </row>
    <row r="22" spans="1:9" s="44" customFormat="1" x14ac:dyDescent="0.25">
      <c r="A22" s="118">
        <v>12.5</v>
      </c>
      <c r="B22" s="41" t="s">
        <v>27</v>
      </c>
      <c r="C22" s="42" t="s">
        <v>3</v>
      </c>
      <c r="D22" s="43">
        <v>179.13600000000002</v>
      </c>
      <c r="E22" s="73"/>
      <c r="F22" s="73"/>
      <c r="G22" s="73">
        <v>0.46</v>
      </c>
      <c r="H22" s="73">
        <f t="shared" si="0"/>
        <v>82.402560000000008</v>
      </c>
      <c r="I22" s="82">
        <f t="shared" si="1"/>
        <v>82.402560000000008</v>
      </c>
    </row>
    <row r="23" spans="1:9" s="44" customFormat="1" x14ac:dyDescent="0.25">
      <c r="A23" s="118">
        <v>13.8</v>
      </c>
      <c r="B23" s="41" t="s">
        <v>28</v>
      </c>
      <c r="C23" s="42" t="s">
        <v>3</v>
      </c>
      <c r="D23" s="43">
        <v>358.27200000000005</v>
      </c>
      <c r="E23" s="73"/>
      <c r="F23" s="73"/>
      <c r="G23" s="73">
        <v>0.52</v>
      </c>
      <c r="H23" s="73">
        <f t="shared" si="0"/>
        <v>186.30144000000004</v>
      </c>
      <c r="I23" s="82">
        <f t="shared" si="1"/>
        <v>186.30144000000004</v>
      </c>
    </row>
    <row r="24" spans="1:9" s="44" customFormat="1" x14ac:dyDescent="0.25">
      <c r="A24" s="118">
        <v>15.1</v>
      </c>
      <c r="B24" s="41" t="s">
        <v>29</v>
      </c>
      <c r="C24" s="42" t="s">
        <v>18</v>
      </c>
      <c r="D24" s="43">
        <v>35.827200000000005</v>
      </c>
      <c r="E24" s="73"/>
      <c r="F24" s="73"/>
      <c r="G24" s="73">
        <v>1.3</v>
      </c>
      <c r="H24" s="73">
        <f t="shared" si="0"/>
        <v>46.575360000000011</v>
      </c>
      <c r="I24" s="82">
        <f t="shared" si="1"/>
        <v>46.575360000000011</v>
      </c>
    </row>
    <row r="25" spans="1:9" s="9" customFormat="1" ht="25.5" x14ac:dyDescent="0.25">
      <c r="A25" s="118" t="s">
        <v>226</v>
      </c>
      <c r="B25" s="45" t="s">
        <v>282</v>
      </c>
      <c r="C25" s="48" t="s">
        <v>20</v>
      </c>
      <c r="D25" s="89">
        <v>37.28</v>
      </c>
      <c r="E25" s="89">
        <v>450</v>
      </c>
      <c r="F25" s="89">
        <f>D25*E25</f>
        <v>16776</v>
      </c>
      <c r="G25" s="89"/>
      <c r="H25" s="89"/>
      <c r="I25" s="90">
        <f>F25</f>
        <v>16776</v>
      </c>
    </row>
    <row r="26" spans="1:9" s="44" customFormat="1" x14ac:dyDescent="0.25">
      <c r="A26" s="118">
        <v>17.7</v>
      </c>
      <c r="B26" s="41" t="s">
        <v>117</v>
      </c>
      <c r="C26" s="42" t="s">
        <v>20</v>
      </c>
      <c r="D26" s="43">
        <f>D25</f>
        <v>37.28</v>
      </c>
      <c r="E26" s="73"/>
      <c r="F26" s="73"/>
      <c r="G26" s="73">
        <v>95</v>
      </c>
      <c r="H26" s="73">
        <f t="shared" ref="H26:H31" si="2">D26*G26</f>
        <v>3541.6</v>
      </c>
      <c r="I26" s="82">
        <f t="shared" ref="I26:I31" si="3">H26</f>
        <v>3541.6</v>
      </c>
    </row>
    <row r="27" spans="1:9" s="44" customFormat="1" x14ac:dyDescent="0.25">
      <c r="A27" s="118">
        <v>19</v>
      </c>
      <c r="B27" s="41" t="s">
        <v>25</v>
      </c>
      <c r="C27" s="42" t="s">
        <v>18</v>
      </c>
      <c r="D27" s="43">
        <v>85.744</v>
      </c>
      <c r="E27" s="73"/>
      <c r="F27" s="73"/>
      <c r="G27" s="73">
        <v>85.744</v>
      </c>
      <c r="H27" s="73">
        <f t="shared" si="2"/>
        <v>7352.0335359999999</v>
      </c>
      <c r="I27" s="82">
        <f t="shared" si="3"/>
        <v>7352.0335359999999</v>
      </c>
    </row>
    <row r="28" spans="1:9" s="44" customFormat="1" x14ac:dyDescent="0.25">
      <c r="A28" s="118">
        <v>20.3</v>
      </c>
      <c r="B28" s="41" t="s">
        <v>26</v>
      </c>
      <c r="C28" s="42" t="s">
        <v>18</v>
      </c>
      <c r="D28" s="43">
        <v>74.56</v>
      </c>
      <c r="E28" s="73"/>
      <c r="F28" s="73"/>
      <c r="G28" s="73">
        <v>59.333333333333336</v>
      </c>
      <c r="H28" s="73">
        <f t="shared" si="2"/>
        <v>4423.8933333333334</v>
      </c>
      <c r="I28" s="82">
        <f t="shared" si="3"/>
        <v>4423.8933333333334</v>
      </c>
    </row>
    <row r="29" spans="1:9" s="44" customFormat="1" x14ac:dyDescent="0.25">
      <c r="A29" s="118">
        <v>21.6</v>
      </c>
      <c r="B29" s="41" t="s">
        <v>27</v>
      </c>
      <c r="C29" s="42" t="s">
        <v>3</v>
      </c>
      <c r="D29" s="43">
        <v>559.20000000000005</v>
      </c>
      <c r="E29" s="73"/>
      <c r="F29" s="73"/>
      <c r="G29" s="73">
        <v>0.46</v>
      </c>
      <c r="H29" s="73">
        <f t="shared" si="2"/>
        <v>257.23200000000003</v>
      </c>
      <c r="I29" s="82">
        <f t="shared" si="3"/>
        <v>257.23200000000003</v>
      </c>
    </row>
    <row r="30" spans="1:9" s="44" customFormat="1" x14ac:dyDescent="0.25">
      <c r="A30" s="118">
        <v>22.9</v>
      </c>
      <c r="B30" s="41" t="s">
        <v>28</v>
      </c>
      <c r="C30" s="42" t="s">
        <v>3</v>
      </c>
      <c r="D30" s="43">
        <v>1118.4000000000001</v>
      </c>
      <c r="E30" s="73"/>
      <c r="F30" s="73"/>
      <c r="G30" s="73">
        <v>0.52</v>
      </c>
      <c r="H30" s="73">
        <f t="shared" si="2"/>
        <v>581.5680000000001</v>
      </c>
      <c r="I30" s="82">
        <f t="shared" si="3"/>
        <v>581.5680000000001</v>
      </c>
    </row>
    <row r="31" spans="1:9" s="44" customFormat="1" x14ac:dyDescent="0.25">
      <c r="A31" s="118">
        <v>24.2</v>
      </c>
      <c r="B31" s="41" t="s">
        <v>29</v>
      </c>
      <c r="C31" s="42" t="s">
        <v>18</v>
      </c>
      <c r="D31" s="43">
        <v>111.84</v>
      </c>
      <c r="E31" s="73"/>
      <c r="F31" s="73"/>
      <c r="G31" s="73">
        <v>1.3</v>
      </c>
      <c r="H31" s="73">
        <f t="shared" si="2"/>
        <v>145.392</v>
      </c>
      <c r="I31" s="82">
        <f t="shared" si="3"/>
        <v>145.392</v>
      </c>
    </row>
    <row r="32" spans="1:9" s="9" customFormat="1" x14ac:dyDescent="0.25">
      <c r="A32" s="118">
        <v>25.5</v>
      </c>
      <c r="B32" s="45" t="s">
        <v>119</v>
      </c>
      <c r="C32" s="48" t="s">
        <v>76</v>
      </c>
      <c r="D32" s="46">
        <v>41.53</v>
      </c>
      <c r="E32" s="89">
        <v>1200</v>
      </c>
      <c r="F32" s="89">
        <f>D32*E32</f>
        <v>49836</v>
      </c>
      <c r="G32" s="89"/>
      <c r="H32" s="89"/>
      <c r="I32" s="90">
        <f>F32</f>
        <v>49836</v>
      </c>
    </row>
    <row r="33" spans="1:9" s="44" customFormat="1" ht="33.75" customHeight="1" x14ac:dyDescent="0.25">
      <c r="A33" s="118">
        <v>26.8</v>
      </c>
      <c r="B33" s="41" t="s">
        <v>120</v>
      </c>
      <c r="C33" s="42" t="s">
        <v>76</v>
      </c>
      <c r="D33" s="43">
        <v>46.2</v>
      </c>
      <c r="E33" s="73"/>
      <c r="F33" s="73"/>
      <c r="G33" s="73">
        <v>1250</v>
      </c>
      <c r="H33" s="73">
        <f>D33*G33</f>
        <v>57750</v>
      </c>
      <c r="I33" s="82">
        <f>H33</f>
        <v>57750</v>
      </c>
    </row>
    <row r="34" spans="1:9" s="44" customFormat="1" ht="25.5" x14ac:dyDescent="0.25">
      <c r="A34" s="118">
        <v>28.1</v>
      </c>
      <c r="B34" s="41" t="s">
        <v>121</v>
      </c>
      <c r="C34" s="42" t="s">
        <v>19</v>
      </c>
      <c r="D34" s="43">
        <v>415.3</v>
      </c>
      <c r="E34" s="73"/>
      <c r="F34" s="73"/>
      <c r="G34" s="73">
        <v>19.52</v>
      </c>
      <c r="H34" s="73">
        <f>D34*G34</f>
        <v>8106.6559999999999</v>
      </c>
      <c r="I34" s="82">
        <f t="shared" ref="I34:I45" si="4">H34</f>
        <v>8106.6559999999999</v>
      </c>
    </row>
    <row r="35" spans="1:9" s="44" customFormat="1" x14ac:dyDescent="0.25">
      <c r="A35" s="118">
        <v>29.4</v>
      </c>
      <c r="B35" s="41" t="s">
        <v>122</v>
      </c>
      <c r="C35" s="42" t="s">
        <v>3</v>
      </c>
      <c r="D35" s="43">
        <v>5</v>
      </c>
      <c r="E35" s="73"/>
      <c r="F35" s="73"/>
      <c r="G35" s="73">
        <v>50</v>
      </c>
      <c r="H35" s="73">
        <f>D35*G35</f>
        <v>250</v>
      </c>
      <c r="I35" s="82">
        <f t="shared" si="4"/>
        <v>250</v>
      </c>
    </row>
    <row r="36" spans="1:9" s="9" customFormat="1" x14ac:dyDescent="0.25">
      <c r="A36" s="118">
        <v>30.7</v>
      </c>
      <c r="B36" s="45" t="s">
        <v>123</v>
      </c>
      <c r="C36" s="48" t="s">
        <v>18</v>
      </c>
      <c r="D36" s="46">
        <v>24.759999999999998</v>
      </c>
      <c r="E36" s="89">
        <v>1000</v>
      </c>
      <c r="F36" s="89">
        <f>D36*E36</f>
        <v>24759.999999999996</v>
      </c>
      <c r="G36" s="158"/>
      <c r="H36" s="159"/>
      <c r="I36" s="90">
        <f>F36</f>
        <v>24759.999999999996</v>
      </c>
    </row>
    <row r="37" spans="1:9" s="44" customFormat="1" ht="35.25" customHeight="1" x14ac:dyDescent="0.25">
      <c r="A37" s="118">
        <v>32</v>
      </c>
      <c r="B37" s="41" t="s">
        <v>120</v>
      </c>
      <c r="C37" s="42" t="s">
        <v>76</v>
      </c>
      <c r="D37" s="43">
        <v>3.7139999999999995</v>
      </c>
      <c r="E37" s="73"/>
      <c r="F37" s="73"/>
      <c r="G37" s="73">
        <v>1250</v>
      </c>
      <c r="H37" s="73">
        <f>D37*G37</f>
        <v>4642.4999999999991</v>
      </c>
      <c r="I37" s="82">
        <f t="shared" si="4"/>
        <v>4642.4999999999991</v>
      </c>
    </row>
    <row r="38" spans="1:9" s="44" customFormat="1" ht="25.5" x14ac:dyDescent="0.25">
      <c r="A38" s="118">
        <v>33.299999999999997</v>
      </c>
      <c r="B38" s="41" t="s">
        <v>121</v>
      </c>
      <c r="C38" s="42" t="s">
        <v>19</v>
      </c>
      <c r="D38" s="43">
        <v>37.139999999999993</v>
      </c>
      <c r="E38" s="73"/>
      <c r="F38" s="73"/>
      <c r="G38" s="73">
        <v>19.52</v>
      </c>
      <c r="H38" s="73">
        <f>D38*G38</f>
        <v>724.97279999999989</v>
      </c>
      <c r="I38" s="82">
        <f t="shared" si="4"/>
        <v>724.97279999999989</v>
      </c>
    </row>
    <row r="39" spans="1:9" s="9" customFormat="1" x14ac:dyDescent="0.25">
      <c r="A39" s="118">
        <v>34.6</v>
      </c>
      <c r="B39" s="45" t="s">
        <v>124</v>
      </c>
      <c r="C39" s="48" t="s">
        <v>76</v>
      </c>
      <c r="D39" s="46">
        <v>12</v>
      </c>
      <c r="E39" s="89">
        <v>600</v>
      </c>
      <c r="F39" s="89">
        <f>D39*E39</f>
        <v>7200</v>
      </c>
      <c r="G39" s="159"/>
      <c r="H39" s="159"/>
      <c r="I39" s="90">
        <f>F39</f>
        <v>7200</v>
      </c>
    </row>
    <row r="40" spans="1:9" s="9" customFormat="1" x14ac:dyDescent="0.25">
      <c r="A40" s="118">
        <v>35.9</v>
      </c>
      <c r="B40" s="41" t="s">
        <v>125</v>
      </c>
      <c r="C40" s="42" t="s">
        <v>76</v>
      </c>
      <c r="D40" s="8">
        <v>7.3500000000000005</v>
      </c>
      <c r="E40" s="89"/>
      <c r="F40" s="89"/>
      <c r="G40" s="73">
        <v>691</v>
      </c>
      <c r="H40" s="73">
        <f>D40*G40</f>
        <v>5078.8500000000004</v>
      </c>
      <c r="I40" s="82">
        <f t="shared" si="4"/>
        <v>5078.8500000000004</v>
      </c>
    </row>
    <row r="41" spans="1:9" s="44" customFormat="1" x14ac:dyDescent="0.25">
      <c r="A41" s="118">
        <v>37.200000000000003</v>
      </c>
      <c r="B41" s="41" t="s">
        <v>126</v>
      </c>
      <c r="C41" s="42" t="s">
        <v>76</v>
      </c>
      <c r="D41" s="43">
        <v>5.25</v>
      </c>
      <c r="E41" s="73"/>
      <c r="F41" s="73"/>
      <c r="G41" s="73">
        <v>691</v>
      </c>
      <c r="H41" s="73">
        <f>D41*G41</f>
        <v>3627.75</v>
      </c>
      <c r="I41" s="82">
        <f t="shared" si="4"/>
        <v>3627.75</v>
      </c>
    </row>
    <row r="42" spans="1:9" s="44" customFormat="1" ht="25.5" x14ac:dyDescent="0.25">
      <c r="A42" s="118">
        <v>38.5</v>
      </c>
      <c r="B42" s="41" t="s">
        <v>121</v>
      </c>
      <c r="C42" s="42" t="s">
        <v>19</v>
      </c>
      <c r="D42" s="43">
        <v>48</v>
      </c>
      <c r="E42" s="73"/>
      <c r="F42" s="73"/>
      <c r="G42" s="73">
        <v>19.52</v>
      </c>
      <c r="H42" s="73">
        <f>D42*G42</f>
        <v>936.96</v>
      </c>
      <c r="I42" s="82">
        <f t="shared" si="4"/>
        <v>936.96</v>
      </c>
    </row>
    <row r="43" spans="1:9" s="44" customFormat="1" x14ac:dyDescent="0.25">
      <c r="A43" s="118">
        <v>39.799999999999997</v>
      </c>
      <c r="B43" s="41" t="s">
        <v>122</v>
      </c>
      <c r="C43" s="42" t="s">
        <v>3</v>
      </c>
      <c r="D43" s="43">
        <v>2</v>
      </c>
      <c r="E43" s="73"/>
      <c r="F43" s="73"/>
      <c r="G43" s="73">
        <v>50</v>
      </c>
      <c r="H43" s="73">
        <f>D43*G43</f>
        <v>100</v>
      </c>
      <c r="I43" s="82">
        <f t="shared" si="4"/>
        <v>100</v>
      </c>
    </row>
    <row r="44" spans="1:9" s="9" customFormat="1" ht="25.5" x14ac:dyDescent="0.25">
      <c r="A44" s="118">
        <v>41.1</v>
      </c>
      <c r="B44" s="45" t="s">
        <v>127</v>
      </c>
      <c r="C44" s="48" t="s">
        <v>76</v>
      </c>
      <c r="D44" s="46">
        <v>23</v>
      </c>
      <c r="E44" s="89">
        <v>600</v>
      </c>
      <c r="F44" s="89">
        <f>D44*E44</f>
        <v>13800</v>
      </c>
      <c r="G44" s="89"/>
      <c r="H44" s="89"/>
      <c r="I44" s="90">
        <f>F44</f>
        <v>13800</v>
      </c>
    </row>
    <row r="45" spans="1:9" s="44" customFormat="1" ht="23.25" customHeight="1" x14ac:dyDescent="0.25">
      <c r="A45" s="118">
        <v>42.4</v>
      </c>
      <c r="B45" s="41" t="s">
        <v>128</v>
      </c>
      <c r="C45" s="42" t="s">
        <v>76</v>
      </c>
      <c r="D45" s="43">
        <v>24.150000000000002</v>
      </c>
      <c r="E45" s="73"/>
      <c r="F45" s="73"/>
      <c r="G45" s="73">
        <v>425</v>
      </c>
      <c r="H45" s="73">
        <f>D45*G45</f>
        <v>10263.75</v>
      </c>
      <c r="I45" s="82">
        <f t="shared" si="4"/>
        <v>10263.75</v>
      </c>
    </row>
    <row r="46" spans="1:9" s="9" customFormat="1" ht="25.5" x14ac:dyDescent="0.25">
      <c r="A46" s="118">
        <v>43.7</v>
      </c>
      <c r="B46" s="45" t="s">
        <v>131</v>
      </c>
      <c r="C46" s="48" t="s">
        <v>76</v>
      </c>
      <c r="D46" s="46">
        <f>6.416*2*4.5+6.26*4.5+6.26*1.25</f>
        <v>93.739000000000004</v>
      </c>
      <c r="E46" s="25">
        <v>120</v>
      </c>
      <c r="F46" s="25">
        <f>D46*E46</f>
        <v>11248.68</v>
      </c>
      <c r="G46" s="73"/>
      <c r="H46" s="89"/>
      <c r="I46" s="90">
        <f>F46</f>
        <v>11248.68</v>
      </c>
    </row>
    <row r="47" spans="1:9" s="9" customFormat="1" ht="25.5" x14ac:dyDescent="0.25">
      <c r="A47" s="118">
        <v>45</v>
      </c>
      <c r="B47" s="45" t="s">
        <v>174</v>
      </c>
      <c r="C47" s="48" t="s">
        <v>76</v>
      </c>
      <c r="D47" s="46">
        <v>42</v>
      </c>
      <c r="E47" s="25">
        <v>150</v>
      </c>
      <c r="F47" s="25">
        <f>D47*E47</f>
        <v>6300</v>
      </c>
      <c r="G47" s="73"/>
      <c r="H47" s="89"/>
      <c r="I47" s="90">
        <f>F47</f>
        <v>6300</v>
      </c>
    </row>
    <row r="48" spans="1:9" s="44" customFormat="1" x14ac:dyDescent="0.25">
      <c r="A48" s="118">
        <v>46.3</v>
      </c>
      <c r="B48" s="41" t="s">
        <v>322</v>
      </c>
      <c r="C48" s="42" t="s">
        <v>19</v>
      </c>
      <c r="D48" s="43">
        <f>D46*0.15</f>
        <v>14.06085</v>
      </c>
      <c r="E48" s="73"/>
      <c r="F48" s="73"/>
      <c r="G48" s="73">
        <v>448.56</v>
      </c>
      <c r="H48" s="73">
        <f>D48*G48</f>
        <v>6307.1348760000001</v>
      </c>
      <c r="I48" s="82">
        <f>H48</f>
        <v>6307.1348760000001</v>
      </c>
    </row>
    <row r="49" spans="1:9" s="44" customFormat="1" ht="25.5" x14ac:dyDescent="0.25">
      <c r="A49" s="118">
        <v>47.6</v>
      </c>
      <c r="B49" s="41" t="s">
        <v>323</v>
      </c>
      <c r="C49" s="42" t="s">
        <v>19</v>
      </c>
      <c r="D49" s="43">
        <v>24</v>
      </c>
      <c r="E49" s="73"/>
      <c r="F49" s="73"/>
      <c r="G49" s="73">
        <v>897.12</v>
      </c>
      <c r="H49" s="73">
        <f>D49*G49</f>
        <v>21530.880000000001</v>
      </c>
      <c r="I49" s="82">
        <f>H49</f>
        <v>21530.880000000001</v>
      </c>
    </row>
    <row r="50" spans="1:9" s="9" customFormat="1" x14ac:dyDescent="0.25">
      <c r="A50" s="118">
        <v>48.9</v>
      </c>
      <c r="B50" s="45" t="s">
        <v>135</v>
      </c>
      <c r="C50" s="48" t="s">
        <v>44</v>
      </c>
      <c r="D50" s="46">
        <v>1</v>
      </c>
      <c r="E50" s="89">
        <v>2500</v>
      </c>
      <c r="F50" s="89">
        <f>D50*E50</f>
        <v>2500</v>
      </c>
      <c r="G50" s="89"/>
      <c r="H50" s="89"/>
      <c r="I50" s="90">
        <f>F50</f>
        <v>2500</v>
      </c>
    </row>
    <row r="51" spans="1:9" s="44" customFormat="1" x14ac:dyDescent="0.25">
      <c r="A51" s="118">
        <v>50.2</v>
      </c>
      <c r="B51" s="41" t="s">
        <v>136</v>
      </c>
      <c r="C51" s="42" t="s">
        <v>137</v>
      </c>
      <c r="D51" s="43">
        <v>1</v>
      </c>
      <c r="E51" s="73"/>
      <c r="F51" s="73"/>
      <c r="G51" s="73">
        <v>5000</v>
      </c>
      <c r="H51" s="73">
        <f>D51*G51</f>
        <v>5000</v>
      </c>
      <c r="I51" s="82">
        <f>H51</f>
        <v>5000</v>
      </c>
    </row>
    <row r="52" spans="1:9" s="44" customFormat="1" x14ac:dyDescent="0.25">
      <c r="A52" s="118">
        <v>51.5</v>
      </c>
      <c r="B52" s="74" t="s">
        <v>43</v>
      </c>
      <c r="C52" s="42"/>
      <c r="D52" s="43"/>
      <c r="E52" s="73"/>
      <c r="F52" s="73"/>
      <c r="G52" s="73"/>
      <c r="H52" s="73"/>
      <c r="I52" s="82"/>
    </row>
    <row r="53" spans="1:9" s="9" customFormat="1" ht="29.25" customHeight="1" x14ac:dyDescent="0.25">
      <c r="A53" s="118">
        <v>52.8</v>
      </c>
      <c r="B53" s="45" t="s">
        <v>142</v>
      </c>
      <c r="C53" s="48" t="s">
        <v>18</v>
      </c>
      <c r="D53" s="48">
        <v>8</v>
      </c>
      <c r="E53" s="89">
        <v>250</v>
      </c>
      <c r="F53" s="89">
        <f>D53*E53</f>
        <v>2000</v>
      </c>
      <c r="G53" s="89"/>
      <c r="H53" s="89"/>
      <c r="I53" s="90">
        <f>F53</f>
        <v>2000</v>
      </c>
    </row>
    <row r="54" spans="1:9" s="9" customFormat="1" ht="15" customHeight="1" x14ac:dyDescent="0.25">
      <c r="A54" s="118">
        <v>54.1</v>
      </c>
      <c r="B54" s="45" t="s">
        <v>283</v>
      </c>
      <c r="C54" s="48" t="s">
        <v>139</v>
      </c>
      <c r="D54" s="48">
        <v>12</v>
      </c>
      <c r="E54" s="89">
        <v>250</v>
      </c>
      <c r="F54" s="89">
        <f>D54*E54</f>
        <v>3000</v>
      </c>
      <c r="G54" s="89"/>
      <c r="H54" s="89"/>
      <c r="I54" s="90">
        <f>F54</f>
        <v>3000</v>
      </c>
    </row>
    <row r="55" spans="1:9" s="44" customFormat="1" ht="16.5" customHeight="1" x14ac:dyDescent="0.25">
      <c r="A55" s="118">
        <v>55.4</v>
      </c>
      <c r="B55" s="41" t="s">
        <v>284</v>
      </c>
      <c r="C55" s="10" t="s">
        <v>18</v>
      </c>
      <c r="D55" s="43">
        <v>12</v>
      </c>
      <c r="E55" s="42"/>
      <c r="F55" s="42"/>
      <c r="G55" s="73">
        <v>220</v>
      </c>
      <c r="H55" s="25">
        <f>D55*G55</f>
        <v>2640</v>
      </c>
      <c r="I55" s="88">
        <f>H55</f>
        <v>2640</v>
      </c>
    </row>
    <row r="56" spans="1:9" s="49" customFormat="1" ht="25.5" x14ac:dyDescent="0.25">
      <c r="A56" s="118">
        <v>56.7</v>
      </c>
      <c r="B56" s="45" t="s">
        <v>324</v>
      </c>
      <c r="C56" s="138" t="s">
        <v>139</v>
      </c>
      <c r="D56" s="170">
        <v>25</v>
      </c>
      <c r="E56" s="89">
        <v>95</v>
      </c>
      <c r="F56" s="89">
        <f>D56*E56</f>
        <v>2375</v>
      </c>
      <c r="G56" s="158"/>
      <c r="H56" s="159"/>
      <c r="I56" s="160">
        <f>F56</f>
        <v>2375</v>
      </c>
    </row>
    <row r="57" spans="1:9" s="44" customFormat="1" ht="29.25" customHeight="1" x14ac:dyDescent="0.25">
      <c r="A57" s="118">
        <v>58</v>
      </c>
      <c r="B57" s="41" t="s">
        <v>138</v>
      </c>
      <c r="C57" s="42" t="s">
        <v>18</v>
      </c>
      <c r="D57" s="43">
        <v>25</v>
      </c>
      <c r="E57" s="89"/>
      <c r="F57" s="89"/>
      <c r="G57" s="73">
        <v>68.5</v>
      </c>
      <c r="H57" s="73">
        <f>D57*G57</f>
        <v>1712.5</v>
      </c>
      <c r="I57" s="82">
        <f>H57</f>
        <v>1712.5</v>
      </c>
    </row>
    <row r="58" spans="1:9" s="9" customFormat="1" x14ac:dyDescent="0.25">
      <c r="A58" s="118">
        <v>59.3</v>
      </c>
      <c r="B58" s="201" t="s">
        <v>285</v>
      </c>
      <c r="C58" s="48" t="s">
        <v>18</v>
      </c>
      <c r="D58" s="46">
        <v>230</v>
      </c>
      <c r="E58" s="89">
        <v>95</v>
      </c>
      <c r="F58" s="89">
        <f>D58*E58</f>
        <v>21850</v>
      </c>
      <c r="G58" s="89"/>
      <c r="H58" s="89"/>
      <c r="I58" s="90">
        <f>F58</f>
        <v>21850</v>
      </c>
    </row>
    <row r="59" spans="1:9" s="44" customFormat="1" ht="29.25" customHeight="1" x14ac:dyDescent="0.25">
      <c r="A59" s="118">
        <v>60.6</v>
      </c>
      <c r="B59" s="41" t="s">
        <v>138</v>
      </c>
      <c r="C59" s="42" t="s">
        <v>18</v>
      </c>
      <c r="D59" s="43">
        <v>230</v>
      </c>
      <c r="E59" s="89"/>
      <c r="F59" s="89"/>
      <c r="G59" s="73">
        <v>68.5</v>
      </c>
      <c r="H59" s="73">
        <f>D59*G59</f>
        <v>15755</v>
      </c>
      <c r="I59" s="82">
        <f>H59</f>
        <v>15755</v>
      </c>
    </row>
    <row r="60" spans="1:9" s="44" customFormat="1" ht="29.25" customHeight="1" x14ac:dyDescent="0.25">
      <c r="A60" s="118">
        <v>61.9</v>
      </c>
      <c r="B60" s="41" t="s">
        <v>45</v>
      </c>
      <c r="C60" s="10" t="s">
        <v>18</v>
      </c>
      <c r="D60" s="43">
        <v>230</v>
      </c>
      <c r="E60" s="73"/>
      <c r="F60" s="25"/>
      <c r="G60" s="73">
        <v>18</v>
      </c>
      <c r="H60" s="25">
        <f>D60*G60</f>
        <v>4140</v>
      </c>
      <c r="I60" s="88">
        <f>H60</f>
        <v>4140</v>
      </c>
    </row>
    <row r="61" spans="1:9" s="44" customFormat="1" x14ac:dyDescent="0.25">
      <c r="A61" s="118">
        <v>63.2</v>
      </c>
      <c r="B61" s="45" t="s">
        <v>141</v>
      </c>
      <c r="C61" s="42" t="s">
        <v>139</v>
      </c>
      <c r="D61" s="43">
        <v>125</v>
      </c>
      <c r="E61" s="89">
        <v>95</v>
      </c>
      <c r="F61" s="89">
        <f>D61*E61</f>
        <v>11875</v>
      </c>
      <c r="G61" s="155"/>
      <c r="H61" s="73"/>
      <c r="I61" s="90">
        <f>F61</f>
        <v>11875</v>
      </c>
    </row>
    <row r="62" spans="1:9" s="44" customFormat="1" ht="29.25" customHeight="1" x14ac:dyDescent="0.25">
      <c r="A62" s="118">
        <v>64.5</v>
      </c>
      <c r="B62" s="41" t="s">
        <v>45</v>
      </c>
      <c r="C62" s="10" t="s">
        <v>18</v>
      </c>
      <c r="D62" s="43">
        <v>125</v>
      </c>
      <c r="E62" s="73"/>
      <c r="F62" s="25"/>
      <c r="G62" s="73">
        <v>9</v>
      </c>
      <c r="H62" s="25">
        <f>D62*G62</f>
        <v>1125</v>
      </c>
      <c r="I62" s="88">
        <f>H62</f>
        <v>1125</v>
      </c>
    </row>
    <row r="63" spans="1:9" s="44" customFormat="1" ht="29.25" customHeight="1" x14ac:dyDescent="0.25">
      <c r="A63" s="118">
        <v>65.8</v>
      </c>
      <c r="B63" s="41" t="s">
        <v>95</v>
      </c>
      <c r="C63" s="42" t="s">
        <v>18</v>
      </c>
      <c r="D63" s="43">
        <v>125</v>
      </c>
      <c r="E63" s="73"/>
      <c r="F63" s="73"/>
      <c r="G63" s="73">
        <v>49.5</v>
      </c>
      <c r="H63" s="25">
        <f>D63*G63</f>
        <v>6187.5</v>
      </c>
      <c r="I63" s="82">
        <f>H63</f>
        <v>6187.5</v>
      </c>
    </row>
    <row r="64" spans="1:9" s="9" customFormat="1" ht="27" customHeight="1" x14ac:dyDescent="0.25">
      <c r="A64" s="118">
        <v>67.099999999999994</v>
      </c>
      <c r="B64" s="45" t="s">
        <v>316</v>
      </c>
      <c r="C64" s="48" t="s">
        <v>101</v>
      </c>
      <c r="D64" s="46">
        <v>35</v>
      </c>
      <c r="E64" s="89">
        <v>95</v>
      </c>
      <c r="F64" s="89">
        <f>D64*E64</f>
        <v>3325</v>
      </c>
      <c r="G64" s="89"/>
      <c r="H64" s="89"/>
      <c r="I64" s="90">
        <f>F64</f>
        <v>3325</v>
      </c>
    </row>
    <row r="65" spans="1:9" s="44" customFormat="1" ht="23.25" customHeight="1" x14ac:dyDescent="0.25">
      <c r="A65" s="118">
        <v>68.400000000000006</v>
      </c>
      <c r="B65" s="41" t="s">
        <v>95</v>
      </c>
      <c r="C65" s="42" t="s">
        <v>18</v>
      </c>
      <c r="D65" s="43">
        <v>35</v>
      </c>
      <c r="E65" s="73"/>
      <c r="F65" s="73"/>
      <c r="G65" s="73">
        <v>49.5</v>
      </c>
      <c r="H65" s="25">
        <f>D65*G65</f>
        <v>1732.5</v>
      </c>
      <c r="I65" s="82">
        <f>H65</f>
        <v>1732.5</v>
      </c>
    </row>
    <row r="66" spans="1:9" s="44" customFormat="1" ht="25.5" customHeight="1" x14ac:dyDescent="0.25">
      <c r="A66" s="118">
        <v>69.7</v>
      </c>
      <c r="B66" s="41" t="s">
        <v>45</v>
      </c>
      <c r="C66" s="10" t="s">
        <v>18</v>
      </c>
      <c r="D66" s="43">
        <v>35</v>
      </c>
      <c r="E66" s="73"/>
      <c r="F66" s="25"/>
      <c r="G66" s="73">
        <v>9</v>
      </c>
      <c r="H66" s="25">
        <f>D66*G66</f>
        <v>315</v>
      </c>
      <c r="I66" s="88">
        <f>H66</f>
        <v>315</v>
      </c>
    </row>
    <row r="67" spans="1:9" s="9" customFormat="1" ht="27" customHeight="1" x14ac:dyDescent="0.25">
      <c r="A67" s="118">
        <v>71</v>
      </c>
      <c r="B67" s="45" t="s">
        <v>317</v>
      </c>
      <c r="C67" s="48" t="s">
        <v>101</v>
      </c>
      <c r="D67" s="46">
        <v>25</v>
      </c>
      <c r="E67" s="89">
        <v>95</v>
      </c>
      <c r="F67" s="89">
        <f>D67*E67</f>
        <v>2375</v>
      </c>
      <c r="G67" s="89"/>
      <c r="H67" s="89"/>
      <c r="I67" s="90">
        <f>F67</f>
        <v>2375</v>
      </c>
    </row>
    <row r="68" spans="1:9" s="44" customFormat="1" ht="23.25" customHeight="1" x14ac:dyDescent="0.25">
      <c r="A68" s="118">
        <v>72.3</v>
      </c>
      <c r="B68" s="41" t="s">
        <v>95</v>
      </c>
      <c r="C68" s="42" t="s">
        <v>18</v>
      </c>
      <c r="D68" s="43">
        <v>25</v>
      </c>
      <c r="E68" s="73"/>
      <c r="F68" s="73"/>
      <c r="G68" s="73">
        <v>49.5</v>
      </c>
      <c r="H68" s="25">
        <f>D68*G68</f>
        <v>1237.5</v>
      </c>
      <c r="I68" s="82">
        <f>H68</f>
        <v>1237.5</v>
      </c>
    </row>
    <row r="69" spans="1:9" s="44" customFormat="1" ht="25.5" customHeight="1" x14ac:dyDescent="0.25">
      <c r="A69" s="118">
        <v>73.599999999999994</v>
      </c>
      <c r="B69" s="41" t="s">
        <v>45</v>
      </c>
      <c r="C69" s="10" t="s">
        <v>18</v>
      </c>
      <c r="D69" s="43">
        <v>25</v>
      </c>
      <c r="E69" s="73"/>
      <c r="F69" s="25"/>
      <c r="G69" s="73">
        <v>9</v>
      </c>
      <c r="H69" s="25">
        <f>D69*G69</f>
        <v>225</v>
      </c>
      <c r="I69" s="88">
        <f>H69</f>
        <v>225</v>
      </c>
    </row>
    <row r="70" spans="1:9" s="9" customFormat="1" ht="29.25" customHeight="1" x14ac:dyDescent="0.25">
      <c r="A70" s="118">
        <v>74.900000000000006</v>
      </c>
      <c r="B70" s="45" t="s">
        <v>143</v>
      </c>
      <c r="C70" s="48" t="s">
        <v>44</v>
      </c>
      <c r="D70" s="46">
        <v>4</v>
      </c>
      <c r="E70" s="89">
        <v>150</v>
      </c>
      <c r="F70" s="89">
        <f>D70*E70</f>
        <v>600</v>
      </c>
      <c r="G70" s="89"/>
      <c r="H70" s="89"/>
      <c r="I70" s="90">
        <f>F70</f>
        <v>600</v>
      </c>
    </row>
    <row r="71" spans="1:9" s="9" customFormat="1" x14ac:dyDescent="0.25">
      <c r="A71" s="118">
        <v>76.2</v>
      </c>
      <c r="B71" s="45" t="s">
        <v>144</v>
      </c>
      <c r="C71" s="48" t="s">
        <v>44</v>
      </c>
      <c r="D71" s="46">
        <v>4</v>
      </c>
      <c r="E71" s="89">
        <v>150</v>
      </c>
      <c r="F71" s="89">
        <f>D71*E71</f>
        <v>600</v>
      </c>
      <c r="G71" s="159"/>
      <c r="H71" s="89"/>
      <c r="I71" s="90">
        <f>F71</f>
        <v>600</v>
      </c>
    </row>
    <row r="72" spans="1:9" s="44" customFormat="1" x14ac:dyDescent="0.25">
      <c r="A72" s="118">
        <v>77.5</v>
      </c>
      <c r="B72" s="41" t="s">
        <v>47</v>
      </c>
      <c r="C72" s="42" t="s">
        <v>44</v>
      </c>
      <c r="D72" s="43">
        <v>4</v>
      </c>
      <c r="E72" s="73"/>
      <c r="F72" s="73"/>
      <c r="G72" s="73">
        <v>33</v>
      </c>
      <c r="H72" s="73">
        <f>D72*G72</f>
        <v>132</v>
      </c>
      <c r="I72" s="82">
        <f>H72</f>
        <v>132</v>
      </c>
    </row>
    <row r="73" spans="1:9" s="49" customFormat="1" x14ac:dyDescent="0.25">
      <c r="A73" s="118">
        <v>78.8</v>
      </c>
      <c r="B73" s="41" t="s">
        <v>48</v>
      </c>
      <c r="C73" s="42" t="s">
        <v>19</v>
      </c>
      <c r="D73" s="43">
        <v>2</v>
      </c>
      <c r="E73" s="73"/>
      <c r="F73" s="73"/>
      <c r="G73" s="73">
        <v>16</v>
      </c>
      <c r="H73" s="73">
        <f>D73*G73</f>
        <v>32</v>
      </c>
      <c r="I73" s="82">
        <f>H73</f>
        <v>32</v>
      </c>
    </row>
    <row r="74" spans="1:9" s="9" customFormat="1" x14ac:dyDescent="0.25">
      <c r="A74" s="118">
        <v>80.099999999999994</v>
      </c>
      <c r="B74" s="45" t="s">
        <v>289</v>
      </c>
      <c r="C74" s="48" t="s">
        <v>44</v>
      </c>
      <c r="D74" s="46">
        <v>6</v>
      </c>
      <c r="E74" s="89">
        <v>150</v>
      </c>
      <c r="F74" s="89">
        <f>D74*E74</f>
        <v>900</v>
      </c>
      <c r="G74" s="159"/>
      <c r="H74" s="89"/>
      <c r="I74" s="90">
        <f>F74</f>
        <v>900</v>
      </c>
    </row>
    <row r="75" spans="1:9" s="44" customFormat="1" x14ac:dyDescent="0.25">
      <c r="A75" s="118">
        <v>81.400000000000006</v>
      </c>
      <c r="B75" s="41" t="s">
        <v>47</v>
      </c>
      <c r="C75" s="42" t="s">
        <v>44</v>
      </c>
      <c r="D75" s="43">
        <v>4</v>
      </c>
      <c r="E75" s="73"/>
      <c r="F75" s="73"/>
      <c r="G75" s="73">
        <v>33</v>
      </c>
      <c r="H75" s="73">
        <f>D75*G75</f>
        <v>132</v>
      </c>
      <c r="I75" s="82">
        <f>H75</f>
        <v>132</v>
      </c>
    </row>
    <row r="76" spans="1:9" s="9" customFormat="1" x14ac:dyDescent="0.25">
      <c r="A76" s="118">
        <v>82.7</v>
      </c>
      <c r="B76" s="45" t="s">
        <v>292</v>
      </c>
      <c r="C76" s="48" t="s">
        <v>44</v>
      </c>
      <c r="D76" s="46">
        <v>21</v>
      </c>
      <c r="E76" s="89">
        <v>300</v>
      </c>
      <c r="F76" s="89">
        <f>D76*E76</f>
        <v>6300</v>
      </c>
      <c r="G76" s="89"/>
      <c r="H76" s="89"/>
      <c r="I76" s="90">
        <f>F76</f>
        <v>6300</v>
      </c>
    </row>
    <row r="77" spans="1:9" s="44" customFormat="1" x14ac:dyDescent="0.25">
      <c r="A77" s="118">
        <v>84</v>
      </c>
      <c r="B77" s="41" t="s">
        <v>288</v>
      </c>
      <c r="C77" s="42" t="s">
        <v>44</v>
      </c>
      <c r="D77" s="43">
        <v>21</v>
      </c>
      <c r="E77" s="73"/>
      <c r="F77" s="73"/>
      <c r="G77" s="73">
        <v>280</v>
      </c>
      <c r="H77" s="73">
        <f>D77*G77</f>
        <v>5880</v>
      </c>
      <c r="I77" s="82">
        <f>H77</f>
        <v>5880</v>
      </c>
    </row>
    <row r="78" spans="1:9" s="9" customFormat="1" x14ac:dyDescent="0.25">
      <c r="A78" s="118">
        <v>85.3</v>
      </c>
      <c r="B78" s="45" t="s">
        <v>286</v>
      </c>
      <c r="C78" s="48" t="s">
        <v>44</v>
      </c>
      <c r="D78" s="46">
        <v>3</v>
      </c>
      <c r="E78" s="89">
        <v>300</v>
      </c>
      <c r="F78" s="89">
        <f>D78*E78</f>
        <v>900</v>
      </c>
      <c r="G78" s="159"/>
      <c r="H78" s="89"/>
      <c r="I78" s="90">
        <f>F78</f>
        <v>900</v>
      </c>
    </row>
    <row r="79" spans="1:9" s="49" customFormat="1" x14ac:dyDescent="0.25">
      <c r="A79" s="118">
        <v>86.6</v>
      </c>
      <c r="B79" s="41" t="s">
        <v>287</v>
      </c>
      <c r="C79" s="42" t="s">
        <v>44</v>
      </c>
      <c r="D79" s="43">
        <v>3</v>
      </c>
      <c r="E79" s="73"/>
      <c r="F79" s="73"/>
      <c r="G79" s="73">
        <v>243</v>
      </c>
      <c r="H79" s="73">
        <f>D79*G79</f>
        <v>729</v>
      </c>
      <c r="I79" s="82">
        <f>H79</f>
        <v>729</v>
      </c>
    </row>
    <row r="80" spans="1:9" s="9" customFormat="1" x14ac:dyDescent="0.25">
      <c r="A80" s="118">
        <v>87.9</v>
      </c>
      <c r="B80" s="45" t="s">
        <v>290</v>
      </c>
      <c r="C80" s="48" t="s">
        <v>44</v>
      </c>
      <c r="D80" s="46">
        <v>2</v>
      </c>
      <c r="E80" s="89">
        <v>300</v>
      </c>
      <c r="F80" s="89">
        <f>D80*E80</f>
        <v>600</v>
      </c>
      <c r="G80" s="89"/>
      <c r="H80" s="89"/>
      <c r="I80" s="90">
        <f>F80</f>
        <v>600</v>
      </c>
    </row>
    <row r="81" spans="1:11" s="49" customFormat="1" x14ac:dyDescent="0.25">
      <c r="A81" s="118">
        <v>89.2</v>
      </c>
      <c r="B81" s="41" t="s">
        <v>291</v>
      </c>
      <c r="C81" s="42" t="s">
        <v>44</v>
      </c>
      <c r="D81" s="43">
        <v>2</v>
      </c>
      <c r="E81" s="73"/>
      <c r="F81" s="73"/>
      <c r="G81" s="73">
        <v>480</v>
      </c>
      <c r="H81" s="73">
        <f>D81*G81</f>
        <v>960</v>
      </c>
      <c r="I81" s="82">
        <f>H81</f>
        <v>960</v>
      </c>
    </row>
    <row r="82" spans="1:11" s="49" customFormat="1" x14ac:dyDescent="0.25">
      <c r="A82" s="118">
        <v>90.5</v>
      </c>
      <c r="B82" s="45" t="s">
        <v>66</v>
      </c>
      <c r="C82" s="48" t="s">
        <v>18</v>
      </c>
      <c r="D82" s="46">
        <v>8</v>
      </c>
      <c r="E82" s="89">
        <v>250</v>
      </c>
      <c r="F82" s="89">
        <f>D82*E82</f>
        <v>2000</v>
      </c>
      <c r="G82" s="89"/>
      <c r="H82" s="89"/>
      <c r="I82" s="90">
        <f>F82</f>
        <v>2000</v>
      </c>
    </row>
    <row r="83" spans="1:11" s="44" customFormat="1" ht="16.5" customHeight="1" x14ac:dyDescent="0.25">
      <c r="A83" s="118">
        <v>91.8</v>
      </c>
      <c r="B83" s="41" t="s">
        <v>32</v>
      </c>
      <c r="C83" s="42" t="s">
        <v>19</v>
      </c>
      <c r="D83" s="43">
        <v>37.5</v>
      </c>
      <c r="E83" s="73"/>
      <c r="F83" s="73"/>
      <c r="G83" s="73">
        <v>14</v>
      </c>
      <c r="H83" s="73">
        <f>D83*G83</f>
        <v>525</v>
      </c>
      <c r="I83" s="82">
        <f>H83</f>
        <v>525</v>
      </c>
    </row>
    <row r="84" spans="1:11" s="49" customFormat="1" ht="25.5" x14ac:dyDescent="0.25">
      <c r="A84" s="118">
        <v>93.1</v>
      </c>
      <c r="B84" s="45" t="s">
        <v>49</v>
      </c>
      <c r="C84" s="48" t="s">
        <v>44</v>
      </c>
      <c r="D84" s="46">
        <v>5</v>
      </c>
      <c r="E84" s="89">
        <v>250</v>
      </c>
      <c r="F84" s="89">
        <f>D84*E84</f>
        <v>1250</v>
      </c>
      <c r="G84" s="89"/>
      <c r="H84" s="89"/>
      <c r="I84" s="90">
        <f>F84</f>
        <v>1250</v>
      </c>
    </row>
    <row r="85" spans="1:11" s="44" customFormat="1" ht="38.25" x14ac:dyDescent="0.25">
      <c r="A85" s="118">
        <v>94.4</v>
      </c>
      <c r="B85" s="41" t="s">
        <v>50</v>
      </c>
      <c r="C85" s="42" t="s">
        <v>44</v>
      </c>
      <c r="D85" s="43">
        <v>5</v>
      </c>
      <c r="E85" s="73"/>
      <c r="F85" s="73"/>
      <c r="G85" s="73">
        <v>170</v>
      </c>
      <c r="H85" s="73">
        <f>D85*G85</f>
        <v>850</v>
      </c>
      <c r="I85" s="82">
        <f>H85</f>
        <v>850</v>
      </c>
    </row>
    <row r="86" spans="1:11" s="9" customFormat="1" x14ac:dyDescent="0.25">
      <c r="A86" s="118">
        <v>95.7</v>
      </c>
      <c r="B86" s="45" t="s">
        <v>54</v>
      </c>
      <c r="C86" s="48" t="s">
        <v>3</v>
      </c>
      <c r="D86" s="46">
        <v>5</v>
      </c>
      <c r="E86" s="89">
        <v>300</v>
      </c>
      <c r="F86" s="89">
        <f>D86*E86</f>
        <v>1500</v>
      </c>
      <c r="G86" s="159"/>
      <c r="H86" s="89"/>
      <c r="I86" s="90">
        <f>F86</f>
        <v>1500</v>
      </c>
    </row>
    <row r="87" spans="1:11" s="44" customFormat="1" ht="29.25" customHeight="1" x14ac:dyDescent="0.25">
      <c r="A87" s="118">
        <v>97</v>
      </c>
      <c r="B87" s="41" t="s">
        <v>172</v>
      </c>
      <c r="C87" s="42" t="s">
        <v>3</v>
      </c>
      <c r="D87" s="43">
        <v>5</v>
      </c>
      <c r="E87" s="42"/>
      <c r="F87" s="73"/>
      <c r="G87" s="73">
        <v>225</v>
      </c>
      <c r="H87" s="73">
        <f>D87*G87</f>
        <v>1125</v>
      </c>
      <c r="I87" s="82">
        <f>H87</f>
        <v>1125</v>
      </c>
    </row>
    <row r="88" spans="1:11" s="9" customFormat="1" ht="29.25" customHeight="1" x14ac:dyDescent="0.25">
      <c r="A88" s="118">
        <v>98.3</v>
      </c>
      <c r="B88" s="45" t="s">
        <v>295</v>
      </c>
      <c r="C88" s="48" t="s">
        <v>44</v>
      </c>
      <c r="D88" s="46">
        <v>1</v>
      </c>
      <c r="E88" s="48">
        <v>6000</v>
      </c>
      <c r="F88" s="89">
        <f>D88*E88</f>
        <v>6000</v>
      </c>
      <c r="G88" s="89"/>
      <c r="H88" s="89"/>
      <c r="I88" s="90">
        <f>F88</f>
        <v>6000</v>
      </c>
    </row>
    <row r="89" spans="1:11" s="44" customFormat="1" ht="17.25" customHeight="1" x14ac:dyDescent="0.25">
      <c r="A89" s="118">
        <v>99.6</v>
      </c>
      <c r="B89" s="41" t="s">
        <v>294</v>
      </c>
      <c r="C89" s="42" t="s">
        <v>44</v>
      </c>
      <c r="D89" s="43">
        <v>1</v>
      </c>
      <c r="E89" s="73"/>
      <c r="F89" s="73"/>
      <c r="G89" s="73">
        <v>12000</v>
      </c>
      <c r="H89" s="73">
        <f>D89*G89</f>
        <v>12000</v>
      </c>
      <c r="I89" s="82">
        <f>H89</f>
        <v>12000</v>
      </c>
    </row>
    <row r="90" spans="1:11" s="44" customFormat="1" ht="25.5" hidden="1" x14ac:dyDescent="0.25">
      <c r="A90" s="118">
        <v>100.9</v>
      </c>
      <c r="B90" s="41" t="s">
        <v>99</v>
      </c>
      <c r="C90" s="42" t="s">
        <v>3</v>
      </c>
      <c r="D90" s="43"/>
      <c r="E90" s="73"/>
      <c r="F90" s="89">
        <f t="shared" ref="F90:F102" si="5">D90*E90</f>
        <v>0</v>
      </c>
      <c r="G90" s="159"/>
      <c r="H90" s="89"/>
      <c r="I90" s="90">
        <f t="shared" ref="I90:I102" si="6">F90</f>
        <v>0</v>
      </c>
      <c r="K90" s="178">
        <f>I90+I91+I95+I96+I97+I98+I99+I100+I101</f>
        <v>0</v>
      </c>
    </row>
    <row r="91" spans="1:11" s="44" customFormat="1" ht="25.5" hidden="1" x14ac:dyDescent="0.25">
      <c r="A91" s="118">
        <v>102.2</v>
      </c>
      <c r="B91" s="41" t="s">
        <v>151</v>
      </c>
      <c r="C91" s="42" t="s">
        <v>3</v>
      </c>
      <c r="D91" s="43"/>
      <c r="E91" s="73"/>
      <c r="F91" s="89">
        <f t="shared" si="5"/>
        <v>0</v>
      </c>
      <c r="G91" s="159"/>
      <c r="H91" s="89"/>
      <c r="I91" s="90">
        <f t="shared" si="6"/>
        <v>0</v>
      </c>
    </row>
    <row r="92" spans="1:11" hidden="1" x14ac:dyDescent="0.25">
      <c r="A92" s="118">
        <v>103.5</v>
      </c>
      <c r="B92" s="45"/>
      <c r="C92" s="10"/>
      <c r="D92" s="8"/>
      <c r="E92" s="25"/>
      <c r="F92" s="89">
        <f t="shared" si="5"/>
        <v>0</v>
      </c>
      <c r="G92" s="159"/>
      <c r="H92" s="89"/>
      <c r="I92" s="90">
        <f t="shared" si="6"/>
        <v>0</v>
      </c>
    </row>
    <row r="93" spans="1:11" s="44" customFormat="1" hidden="1" x14ac:dyDescent="0.25">
      <c r="A93" s="118">
        <v>104.8</v>
      </c>
      <c r="B93" s="41"/>
      <c r="C93" s="42"/>
      <c r="D93" s="43"/>
      <c r="E93" s="42"/>
      <c r="F93" s="89">
        <f t="shared" si="5"/>
        <v>0</v>
      </c>
      <c r="G93" s="159"/>
      <c r="H93" s="89"/>
      <c r="I93" s="90">
        <f t="shared" si="6"/>
        <v>0</v>
      </c>
    </row>
    <row r="94" spans="1:11" s="44" customFormat="1" hidden="1" x14ac:dyDescent="0.25">
      <c r="A94" s="118">
        <v>106.1</v>
      </c>
      <c r="B94" s="41"/>
      <c r="C94" s="42"/>
      <c r="D94" s="43"/>
      <c r="E94" s="73"/>
      <c r="F94" s="89">
        <f t="shared" si="5"/>
        <v>0</v>
      </c>
      <c r="G94" s="159"/>
      <c r="H94" s="89"/>
      <c r="I94" s="90">
        <f t="shared" si="6"/>
        <v>0</v>
      </c>
    </row>
    <row r="95" spans="1:11" s="44" customFormat="1" hidden="1" x14ac:dyDescent="0.25">
      <c r="A95" s="118">
        <v>107.4</v>
      </c>
      <c r="B95" s="41" t="s">
        <v>152</v>
      </c>
      <c r="C95" s="42" t="s">
        <v>3</v>
      </c>
      <c r="D95" s="43"/>
      <c r="E95" s="73"/>
      <c r="F95" s="89">
        <f t="shared" si="5"/>
        <v>0</v>
      </c>
      <c r="G95" s="159"/>
      <c r="H95" s="89"/>
      <c r="I95" s="90">
        <f t="shared" si="6"/>
        <v>0</v>
      </c>
    </row>
    <row r="96" spans="1:11" s="44" customFormat="1" hidden="1" x14ac:dyDescent="0.25">
      <c r="A96" s="118">
        <v>108.7</v>
      </c>
      <c r="B96" s="41" t="s">
        <v>59</v>
      </c>
      <c r="C96" s="42" t="s">
        <v>3</v>
      </c>
      <c r="D96" s="43"/>
      <c r="E96" s="73"/>
      <c r="F96" s="89">
        <f t="shared" si="5"/>
        <v>0</v>
      </c>
      <c r="G96" s="159"/>
      <c r="H96" s="89"/>
      <c r="I96" s="90">
        <f t="shared" si="6"/>
        <v>0</v>
      </c>
    </row>
    <row r="97" spans="1:9" s="44" customFormat="1" hidden="1" x14ac:dyDescent="0.25">
      <c r="A97" s="118">
        <v>110</v>
      </c>
      <c r="B97" s="41" t="s">
        <v>60</v>
      </c>
      <c r="C97" s="42" t="s">
        <v>3</v>
      </c>
      <c r="D97" s="43"/>
      <c r="E97" s="73"/>
      <c r="F97" s="89">
        <f t="shared" si="5"/>
        <v>0</v>
      </c>
      <c r="G97" s="159"/>
      <c r="H97" s="89"/>
      <c r="I97" s="90">
        <f t="shared" si="6"/>
        <v>0</v>
      </c>
    </row>
    <row r="98" spans="1:9" s="44" customFormat="1" hidden="1" x14ac:dyDescent="0.25">
      <c r="A98" s="118">
        <v>111.3</v>
      </c>
      <c r="B98" s="41" t="s">
        <v>61</v>
      </c>
      <c r="C98" s="42" t="s">
        <v>3</v>
      </c>
      <c r="D98" s="43"/>
      <c r="E98" s="73"/>
      <c r="F98" s="89">
        <f t="shared" si="5"/>
        <v>0</v>
      </c>
      <c r="G98" s="159"/>
      <c r="H98" s="89"/>
      <c r="I98" s="90">
        <f t="shared" si="6"/>
        <v>0</v>
      </c>
    </row>
    <row r="99" spans="1:9" s="44" customFormat="1" hidden="1" x14ac:dyDescent="0.25">
      <c r="A99" s="118">
        <v>112.6</v>
      </c>
      <c r="B99" s="41" t="s">
        <v>63</v>
      </c>
      <c r="C99" s="42" t="s">
        <v>18</v>
      </c>
      <c r="D99" s="43"/>
      <c r="E99" s="73"/>
      <c r="F99" s="89">
        <f t="shared" si="5"/>
        <v>0</v>
      </c>
      <c r="G99" s="159"/>
      <c r="H99" s="89"/>
      <c r="I99" s="90">
        <f t="shared" si="6"/>
        <v>0</v>
      </c>
    </row>
    <row r="100" spans="1:9" s="44" customFormat="1" hidden="1" x14ac:dyDescent="0.25">
      <c r="A100" s="118">
        <v>113.9</v>
      </c>
      <c r="B100" s="41" t="s">
        <v>62</v>
      </c>
      <c r="C100" s="42" t="s">
        <v>3</v>
      </c>
      <c r="D100" s="43"/>
      <c r="E100" s="73"/>
      <c r="F100" s="89">
        <f t="shared" si="5"/>
        <v>0</v>
      </c>
      <c r="G100" s="159"/>
      <c r="H100" s="89"/>
      <c r="I100" s="90">
        <f t="shared" si="6"/>
        <v>0</v>
      </c>
    </row>
    <row r="101" spans="1:9" s="44" customFormat="1" hidden="1" x14ac:dyDescent="0.25">
      <c r="A101" s="118">
        <v>115.2</v>
      </c>
      <c r="B101" s="41" t="s">
        <v>64</v>
      </c>
      <c r="C101" s="42" t="s">
        <v>3</v>
      </c>
      <c r="D101" s="43"/>
      <c r="E101" s="73"/>
      <c r="F101" s="89">
        <f t="shared" si="5"/>
        <v>0</v>
      </c>
      <c r="G101" s="159"/>
      <c r="H101" s="89"/>
      <c r="I101" s="90">
        <f t="shared" si="6"/>
        <v>0</v>
      </c>
    </row>
    <row r="102" spans="1:9" s="9" customFormat="1" x14ac:dyDescent="0.25">
      <c r="A102" s="118">
        <v>116.5</v>
      </c>
      <c r="B102" s="45" t="s">
        <v>293</v>
      </c>
      <c r="C102" s="48" t="s">
        <v>44</v>
      </c>
      <c r="D102" s="46">
        <v>1</v>
      </c>
      <c r="E102" s="89">
        <v>3500</v>
      </c>
      <c r="F102" s="89">
        <f t="shared" si="5"/>
        <v>3500</v>
      </c>
      <c r="G102" s="159"/>
      <c r="H102" s="89"/>
      <c r="I102" s="90">
        <f t="shared" si="6"/>
        <v>3500</v>
      </c>
    </row>
    <row r="103" spans="1:9" s="9" customFormat="1" ht="25.5" x14ac:dyDescent="0.25">
      <c r="A103" s="118">
        <v>117.8</v>
      </c>
      <c r="B103" s="45" t="s">
        <v>153</v>
      </c>
      <c r="C103" s="48" t="s">
        <v>44</v>
      </c>
      <c r="D103" s="46">
        <v>13</v>
      </c>
      <c r="E103" s="89">
        <v>1200</v>
      </c>
      <c r="F103" s="89">
        <f>D103*E103</f>
        <v>15600</v>
      </c>
      <c r="G103" s="159"/>
      <c r="H103" s="159"/>
      <c r="I103" s="160">
        <f>F103</f>
        <v>15600</v>
      </c>
    </row>
    <row r="104" spans="1:9" s="44" customFormat="1" ht="27.75" customHeight="1" x14ac:dyDescent="0.25">
      <c r="A104" s="118">
        <v>119.1</v>
      </c>
      <c r="B104" s="41" t="s">
        <v>154</v>
      </c>
      <c r="C104" s="42" t="s">
        <v>44</v>
      </c>
      <c r="D104" s="43">
        <v>13</v>
      </c>
      <c r="E104" s="73"/>
      <c r="F104" s="73"/>
      <c r="G104" s="73">
        <v>3765</v>
      </c>
      <c r="H104" s="73">
        <f>D104*G104</f>
        <v>48945</v>
      </c>
      <c r="I104" s="82">
        <f>H104</f>
        <v>48945</v>
      </c>
    </row>
    <row r="105" spans="1:9" s="44" customFormat="1" ht="16.5" customHeight="1" x14ac:dyDescent="0.25">
      <c r="A105" s="118">
        <v>120.4</v>
      </c>
      <c r="B105" s="41" t="s">
        <v>96</v>
      </c>
      <c r="C105" s="42" t="s">
        <v>3</v>
      </c>
      <c r="D105" s="43">
        <v>13</v>
      </c>
      <c r="E105" s="73"/>
      <c r="F105" s="73"/>
      <c r="G105" s="73">
        <v>190</v>
      </c>
      <c r="H105" s="73">
        <f>D105*G105</f>
        <v>2470</v>
      </c>
      <c r="I105" s="82">
        <f>H105</f>
        <v>2470</v>
      </c>
    </row>
    <row r="106" spans="1:9" s="9" customFormat="1" x14ac:dyDescent="0.25">
      <c r="A106" s="118">
        <v>121.7</v>
      </c>
      <c r="B106" s="45" t="s">
        <v>97</v>
      </c>
      <c r="C106" s="48" t="s">
        <v>44</v>
      </c>
      <c r="D106" s="46">
        <v>9</v>
      </c>
      <c r="E106" s="89">
        <v>1500</v>
      </c>
      <c r="F106" s="89">
        <f>D106*E106</f>
        <v>13500</v>
      </c>
      <c r="G106" s="159"/>
      <c r="H106" s="159"/>
      <c r="I106" s="90">
        <f>F106</f>
        <v>13500</v>
      </c>
    </row>
    <row r="107" spans="1:9" s="44" customFormat="1" x14ac:dyDescent="0.25">
      <c r="A107" s="118">
        <v>123</v>
      </c>
      <c r="B107" s="41" t="s">
        <v>155</v>
      </c>
      <c r="C107" s="42" t="s">
        <v>44</v>
      </c>
      <c r="D107" s="43">
        <v>9</v>
      </c>
      <c r="E107" s="73"/>
      <c r="F107" s="73"/>
      <c r="G107" s="73">
        <v>850</v>
      </c>
      <c r="H107" s="73">
        <f>D107*G107</f>
        <v>7650</v>
      </c>
      <c r="I107" s="82">
        <f>H107</f>
        <v>7650</v>
      </c>
    </row>
    <row r="108" spans="1:9" s="9" customFormat="1" ht="25.5" x14ac:dyDescent="0.25">
      <c r="A108" s="118">
        <v>124.3</v>
      </c>
      <c r="B108" s="45" t="s">
        <v>157</v>
      </c>
      <c r="C108" s="48" t="s">
        <v>44</v>
      </c>
      <c r="D108" s="46">
        <v>8</v>
      </c>
      <c r="E108" s="89">
        <v>1200</v>
      </c>
      <c r="F108" s="89">
        <f>D108*E108</f>
        <v>9600</v>
      </c>
      <c r="G108" s="159"/>
      <c r="H108" s="159"/>
      <c r="I108" s="90">
        <f>F108</f>
        <v>9600</v>
      </c>
    </row>
    <row r="109" spans="1:9" s="44" customFormat="1" x14ac:dyDescent="0.25">
      <c r="A109" s="118">
        <v>125.6</v>
      </c>
      <c r="B109" s="41" t="s">
        <v>158</v>
      </c>
      <c r="C109" s="42" t="s">
        <v>44</v>
      </c>
      <c r="D109" s="43">
        <v>8</v>
      </c>
      <c r="E109" s="73"/>
      <c r="F109" s="73"/>
      <c r="G109" s="73">
        <v>2300</v>
      </c>
      <c r="H109" s="73">
        <f>D109*G109</f>
        <v>18400</v>
      </c>
      <c r="I109" s="82">
        <f>H109</f>
        <v>18400</v>
      </c>
    </row>
    <row r="110" spans="1:9" s="44" customFormat="1" ht="29.25" customHeight="1" x14ac:dyDescent="0.25">
      <c r="A110" s="118">
        <v>126.9</v>
      </c>
      <c r="B110" s="41" t="s">
        <v>56</v>
      </c>
      <c r="C110" s="42" t="s">
        <v>3</v>
      </c>
      <c r="D110" s="43">
        <v>36</v>
      </c>
      <c r="E110" s="73"/>
      <c r="F110" s="73"/>
      <c r="G110" s="73">
        <v>14.2</v>
      </c>
      <c r="H110" s="73">
        <f>D110*G110</f>
        <v>511.2</v>
      </c>
      <c r="I110" s="82">
        <f>H110</f>
        <v>511.2</v>
      </c>
    </row>
    <row r="111" spans="1:9" x14ac:dyDescent="0.25">
      <c r="A111" s="118">
        <v>128.19999999999999</v>
      </c>
      <c r="B111" s="45" t="s">
        <v>160</v>
      </c>
      <c r="C111" s="48" t="s">
        <v>44</v>
      </c>
      <c r="D111" s="46">
        <v>5</v>
      </c>
      <c r="E111" s="89">
        <v>1200</v>
      </c>
      <c r="F111" s="89">
        <f>D111*E111</f>
        <v>6000</v>
      </c>
      <c r="G111" s="159"/>
      <c r="H111" s="159"/>
      <c r="I111" s="90">
        <f>F111</f>
        <v>6000</v>
      </c>
    </row>
    <row r="112" spans="1:9" s="44" customFormat="1" x14ac:dyDescent="0.25">
      <c r="A112" s="118">
        <v>129.5</v>
      </c>
      <c r="B112" s="41" t="s">
        <v>159</v>
      </c>
      <c r="C112" s="42" t="s">
        <v>44</v>
      </c>
      <c r="D112" s="43">
        <v>5</v>
      </c>
      <c r="E112" s="73"/>
      <c r="F112" s="73"/>
      <c r="G112" s="73">
        <v>1500</v>
      </c>
      <c r="H112" s="73">
        <f>D112*G112</f>
        <v>7500</v>
      </c>
      <c r="I112" s="82">
        <f>H112</f>
        <v>7500</v>
      </c>
    </row>
    <row r="113" spans="1:9" s="44" customFormat="1" ht="29.25" customHeight="1" x14ac:dyDescent="0.25">
      <c r="A113" s="118">
        <v>130.80000000000001</v>
      </c>
      <c r="B113" s="41" t="s">
        <v>56</v>
      </c>
      <c r="C113" s="42" t="s">
        <v>3</v>
      </c>
      <c r="D113" s="43">
        <v>15</v>
      </c>
      <c r="E113" s="73"/>
      <c r="F113" s="73"/>
      <c r="G113" s="73">
        <v>14.2</v>
      </c>
      <c r="H113" s="73">
        <f>D113*G113</f>
        <v>213</v>
      </c>
      <c r="I113" s="82">
        <f>H113</f>
        <v>213</v>
      </c>
    </row>
    <row r="114" spans="1:9" s="44" customFormat="1" x14ac:dyDescent="0.25">
      <c r="A114" s="118">
        <v>132.1</v>
      </c>
      <c r="B114" s="41" t="s">
        <v>96</v>
      </c>
      <c r="C114" s="42" t="s">
        <v>3</v>
      </c>
      <c r="D114" s="43">
        <v>5</v>
      </c>
      <c r="E114" s="73"/>
      <c r="F114" s="73"/>
      <c r="G114" s="73">
        <v>150</v>
      </c>
      <c r="H114" s="73">
        <f>D114*G114</f>
        <v>750</v>
      </c>
      <c r="I114" s="82">
        <f>H114</f>
        <v>750</v>
      </c>
    </row>
    <row r="115" spans="1:9" s="9" customFormat="1" ht="30" customHeight="1" x14ac:dyDescent="0.25">
      <c r="A115" s="118">
        <v>133.4</v>
      </c>
      <c r="B115" s="45" t="s">
        <v>98</v>
      </c>
      <c r="C115" s="48" t="s">
        <v>3</v>
      </c>
      <c r="D115" s="46">
        <v>1</v>
      </c>
      <c r="E115" s="89">
        <v>1400</v>
      </c>
      <c r="F115" s="89">
        <f>D115*E115</f>
        <v>1400</v>
      </c>
      <c r="G115" s="89"/>
      <c r="H115" s="89"/>
      <c r="I115" s="90">
        <f>F115</f>
        <v>1400</v>
      </c>
    </row>
    <row r="116" spans="1:9" s="44" customFormat="1" x14ac:dyDescent="0.25">
      <c r="A116" s="118">
        <v>134.69999999999999</v>
      </c>
      <c r="B116" s="41" t="s">
        <v>161</v>
      </c>
      <c r="C116" s="42" t="s">
        <v>3</v>
      </c>
      <c r="D116" s="43">
        <v>1</v>
      </c>
      <c r="E116" s="73"/>
      <c r="F116" s="73"/>
      <c r="G116" s="73">
        <v>3000</v>
      </c>
      <c r="H116" s="73">
        <f>D116*G116</f>
        <v>3000</v>
      </c>
      <c r="I116" s="82">
        <f>H116</f>
        <v>3000</v>
      </c>
    </row>
    <row r="117" spans="1:9" s="44" customFormat="1" ht="25.5" x14ac:dyDescent="0.25">
      <c r="A117" s="118">
        <v>136</v>
      </c>
      <c r="B117" s="41" t="s">
        <v>56</v>
      </c>
      <c r="C117" s="42" t="s">
        <v>3</v>
      </c>
      <c r="D117" s="43">
        <v>3</v>
      </c>
      <c r="E117" s="73"/>
      <c r="F117" s="73"/>
      <c r="G117" s="73">
        <v>14.2</v>
      </c>
      <c r="H117" s="73">
        <f>D117*G117</f>
        <v>42.599999999999994</v>
      </c>
      <c r="I117" s="82">
        <f>H117</f>
        <v>42.599999999999994</v>
      </c>
    </row>
    <row r="118" spans="1:9" s="9" customFormat="1" x14ac:dyDescent="0.25">
      <c r="A118" s="118">
        <v>137.30000000000001</v>
      </c>
      <c r="B118" s="45" t="s">
        <v>162</v>
      </c>
      <c r="C118" s="48" t="s">
        <v>44</v>
      </c>
      <c r="D118" s="46">
        <v>1</v>
      </c>
      <c r="E118" s="89">
        <v>1400</v>
      </c>
      <c r="F118" s="89">
        <f>D118*E118</f>
        <v>1400</v>
      </c>
      <c r="G118" s="159"/>
      <c r="H118" s="159"/>
      <c r="I118" s="90">
        <f>F118</f>
        <v>1400</v>
      </c>
    </row>
    <row r="119" spans="1:9" s="44" customFormat="1" x14ac:dyDescent="0.25">
      <c r="A119" s="118">
        <v>138.6</v>
      </c>
      <c r="B119" s="41" t="s">
        <v>163</v>
      </c>
      <c r="C119" s="10" t="s">
        <v>44</v>
      </c>
      <c r="D119" s="8">
        <v>1</v>
      </c>
      <c r="E119" s="73"/>
      <c r="F119" s="73"/>
      <c r="G119" s="73">
        <v>1000</v>
      </c>
      <c r="H119" s="73">
        <f>D119*G119</f>
        <v>1000</v>
      </c>
      <c r="I119" s="82">
        <f>H119</f>
        <v>1000</v>
      </c>
    </row>
    <row r="120" spans="1:9" s="9" customFormat="1" x14ac:dyDescent="0.25">
      <c r="A120" s="118">
        <v>139.9</v>
      </c>
      <c r="B120" s="45" t="s">
        <v>296</v>
      </c>
      <c r="C120" s="48" t="s">
        <v>44</v>
      </c>
      <c r="D120" s="46">
        <v>1</v>
      </c>
      <c r="E120" s="89">
        <v>6500</v>
      </c>
      <c r="F120" s="89">
        <f>D120*E120</f>
        <v>6500</v>
      </c>
      <c r="G120" s="89"/>
      <c r="H120" s="89"/>
      <c r="I120" s="90">
        <f>F120</f>
        <v>6500</v>
      </c>
    </row>
    <row r="121" spans="1:9" s="44" customFormat="1" x14ac:dyDescent="0.25">
      <c r="A121" s="118">
        <v>141.19999999999999</v>
      </c>
      <c r="B121" s="41" t="s">
        <v>173</v>
      </c>
      <c r="C121" s="42" t="s">
        <v>44</v>
      </c>
      <c r="D121" s="43">
        <v>1</v>
      </c>
      <c r="E121" s="73"/>
      <c r="F121" s="73"/>
      <c r="G121" s="73">
        <v>6500</v>
      </c>
      <c r="H121" s="73">
        <v>6500</v>
      </c>
      <c r="I121" s="82">
        <f>H121+F121</f>
        <v>6500</v>
      </c>
    </row>
    <row r="122" spans="1:9" s="44" customFormat="1" x14ac:dyDescent="0.25">
      <c r="A122" s="118">
        <v>142.5</v>
      </c>
      <c r="B122" s="45" t="s">
        <v>175</v>
      </c>
      <c r="C122" s="42"/>
      <c r="D122" s="43"/>
      <c r="E122" s="73"/>
      <c r="F122" s="73">
        <v>18000</v>
      </c>
      <c r="G122" s="73" t="s">
        <v>226</v>
      </c>
      <c r="H122" s="73"/>
      <c r="I122" s="82">
        <f>F122</f>
        <v>18000</v>
      </c>
    </row>
    <row r="123" spans="1:9" s="9" customFormat="1" x14ac:dyDescent="0.25">
      <c r="A123" s="118">
        <v>143.80000000000001</v>
      </c>
      <c r="B123" s="45" t="s">
        <v>304</v>
      </c>
      <c r="C123" s="48" t="s">
        <v>44</v>
      </c>
      <c r="D123" s="46">
        <v>1</v>
      </c>
      <c r="E123" s="89">
        <v>3000</v>
      </c>
      <c r="F123" s="89">
        <f>D123*E123</f>
        <v>3000</v>
      </c>
      <c r="G123" s="89"/>
      <c r="H123" s="89"/>
      <c r="I123" s="90">
        <f>F123</f>
        <v>3000</v>
      </c>
    </row>
    <row r="124" spans="1:9" s="44" customFormat="1" x14ac:dyDescent="0.25">
      <c r="A124" s="118">
        <v>145.1</v>
      </c>
      <c r="B124" s="41" t="s">
        <v>305</v>
      </c>
      <c r="C124" s="42" t="s">
        <v>44</v>
      </c>
      <c r="D124" s="43">
        <v>2</v>
      </c>
      <c r="E124" s="73"/>
      <c r="F124" s="73"/>
      <c r="G124" s="73">
        <v>280</v>
      </c>
      <c r="H124" s="73">
        <f>D124*G124</f>
        <v>560</v>
      </c>
      <c r="I124" s="82">
        <f>H124</f>
        <v>560</v>
      </c>
    </row>
    <row r="125" spans="1:9" s="44" customFormat="1" x14ac:dyDescent="0.25">
      <c r="A125" s="118">
        <v>146.4</v>
      </c>
      <c r="B125" s="41" t="s">
        <v>306</v>
      </c>
      <c r="C125" s="42" t="s">
        <v>76</v>
      </c>
      <c r="D125" s="43">
        <v>0.25</v>
      </c>
      <c r="E125" s="73"/>
      <c r="F125" s="73"/>
      <c r="G125" s="73">
        <v>600</v>
      </c>
      <c r="H125" s="73">
        <f>D125*G125</f>
        <v>150</v>
      </c>
      <c r="I125" s="82">
        <f>H125</f>
        <v>150</v>
      </c>
    </row>
    <row r="126" spans="1:9" s="44" customFormat="1" x14ac:dyDescent="0.25">
      <c r="A126" s="118">
        <v>147.69999999999999</v>
      </c>
      <c r="B126" s="74" t="s">
        <v>297</v>
      </c>
      <c r="C126" s="42"/>
      <c r="D126" s="43"/>
      <c r="E126" s="73"/>
      <c r="F126" s="73"/>
      <c r="G126" s="73"/>
      <c r="H126" s="73"/>
      <c r="I126" s="82"/>
    </row>
    <row r="127" spans="1:9" s="49" customFormat="1" x14ac:dyDescent="0.25">
      <c r="A127" s="118">
        <v>149</v>
      </c>
      <c r="B127" s="185" t="s">
        <v>298</v>
      </c>
      <c r="C127" s="138" t="s">
        <v>44</v>
      </c>
      <c r="D127" s="46">
        <v>1</v>
      </c>
      <c r="E127" s="89">
        <v>3500</v>
      </c>
      <c r="F127" s="89">
        <f>D127*E127</f>
        <v>3500</v>
      </c>
      <c r="G127" s="89"/>
      <c r="H127" s="89"/>
      <c r="I127" s="90">
        <f>F127</f>
        <v>3500</v>
      </c>
    </row>
    <row r="128" spans="1:9" s="9" customFormat="1" x14ac:dyDescent="0.25">
      <c r="A128" s="118">
        <v>150.30000000000001</v>
      </c>
      <c r="B128" s="45" t="s">
        <v>300</v>
      </c>
      <c r="C128" s="48" t="s">
        <v>44</v>
      </c>
      <c r="D128" s="46">
        <v>4</v>
      </c>
      <c r="E128" s="89">
        <v>3950</v>
      </c>
      <c r="F128" s="89">
        <f>D128*E128</f>
        <v>15800</v>
      </c>
      <c r="G128" s="80"/>
      <c r="I128" s="90">
        <f>F128</f>
        <v>15800</v>
      </c>
    </row>
    <row r="129" spans="1:9" s="44" customFormat="1" x14ac:dyDescent="0.25">
      <c r="A129" s="118">
        <v>151.6</v>
      </c>
      <c r="B129" s="202" t="s">
        <v>299</v>
      </c>
      <c r="C129" s="42" t="s">
        <v>101</v>
      </c>
      <c r="D129" s="43">
        <v>6</v>
      </c>
      <c r="E129" s="73"/>
      <c r="F129" s="73"/>
      <c r="G129" s="73">
        <v>130</v>
      </c>
      <c r="H129" s="73">
        <f>D129*G129</f>
        <v>780</v>
      </c>
      <c r="I129" s="82">
        <f>H129+F129</f>
        <v>780</v>
      </c>
    </row>
    <row r="130" spans="1:9" s="44" customFormat="1" x14ac:dyDescent="0.25">
      <c r="A130" s="118">
        <v>152.9</v>
      </c>
      <c r="B130" s="202" t="s">
        <v>302</v>
      </c>
      <c r="C130" s="42" t="s">
        <v>44</v>
      </c>
      <c r="D130" s="43">
        <v>2</v>
      </c>
      <c r="E130" s="73"/>
      <c r="F130" s="73"/>
      <c r="G130" s="73">
        <v>1500</v>
      </c>
      <c r="H130" s="73">
        <f>D130*G130</f>
        <v>3000</v>
      </c>
      <c r="I130" s="82">
        <f>H130+F130</f>
        <v>3000</v>
      </c>
    </row>
    <row r="131" spans="1:9" s="44" customFormat="1" x14ac:dyDescent="0.25">
      <c r="A131" s="118">
        <v>154.19999999999999</v>
      </c>
      <c r="B131" s="45" t="s">
        <v>301</v>
      </c>
      <c r="C131" s="42" t="s">
        <v>44</v>
      </c>
      <c r="D131" s="43">
        <v>4</v>
      </c>
      <c r="E131" s="73">
        <v>1670</v>
      </c>
      <c r="F131" s="89">
        <f t="shared" ref="F131:F140" si="7">D131*E131</f>
        <v>6680</v>
      </c>
      <c r="G131" s="80"/>
      <c r="H131" s="9"/>
      <c r="I131" s="90">
        <f t="shared" ref="I131:I140" si="8">F131</f>
        <v>6680</v>
      </c>
    </row>
    <row r="132" spans="1:9" s="9" customFormat="1" ht="15.75" customHeight="1" x14ac:dyDescent="0.25">
      <c r="A132" s="118">
        <v>155.5</v>
      </c>
      <c r="B132" s="45" t="s">
        <v>303</v>
      </c>
      <c r="C132" s="48" t="s">
        <v>44</v>
      </c>
      <c r="D132" s="46">
        <v>4</v>
      </c>
      <c r="E132" s="89">
        <v>1200</v>
      </c>
      <c r="F132" s="89">
        <f t="shared" si="7"/>
        <v>4800</v>
      </c>
      <c r="G132" s="89"/>
      <c r="H132" s="89"/>
      <c r="I132" s="90">
        <f t="shared" si="8"/>
        <v>4800</v>
      </c>
    </row>
    <row r="133" spans="1:9" s="44" customFormat="1" ht="15.75" customHeight="1" x14ac:dyDescent="0.25">
      <c r="A133" s="118">
        <v>156.80000000000001</v>
      </c>
      <c r="B133" s="45" t="s">
        <v>307</v>
      </c>
      <c r="C133" s="138" t="s">
        <v>44</v>
      </c>
      <c r="D133" s="46">
        <v>2</v>
      </c>
      <c r="E133" s="89">
        <v>5000</v>
      </c>
      <c r="F133" s="89">
        <f t="shared" si="7"/>
        <v>10000</v>
      </c>
      <c r="G133" s="89"/>
      <c r="H133" s="89"/>
      <c r="I133" s="90">
        <f t="shared" si="8"/>
        <v>10000</v>
      </c>
    </row>
    <row r="134" spans="1:9" s="44" customFormat="1" ht="25.5" x14ac:dyDescent="0.25">
      <c r="A134" s="118">
        <v>158.1</v>
      </c>
      <c r="B134" s="45" t="s">
        <v>308</v>
      </c>
      <c r="C134" s="138" t="s">
        <v>44</v>
      </c>
      <c r="D134" s="46">
        <v>2</v>
      </c>
      <c r="E134" s="89">
        <v>5000</v>
      </c>
      <c r="F134" s="89">
        <f t="shared" si="7"/>
        <v>10000</v>
      </c>
      <c r="G134" s="89"/>
      <c r="H134" s="89"/>
      <c r="I134" s="90">
        <f t="shared" si="8"/>
        <v>10000</v>
      </c>
    </row>
    <row r="135" spans="1:9" s="44" customFormat="1" ht="25.5" x14ac:dyDescent="0.25">
      <c r="A135" s="118">
        <v>159.4</v>
      </c>
      <c r="B135" s="45" t="s">
        <v>309</v>
      </c>
      <c r="C135" s="138" t="s">
        <v>44</v>
      </c>
      <c r="D135" s="46">
        <v>1</v>
      </c>
      <c r="E135" s="89">
        <v>4500</v>
      </c>
      <c r="F135" s="89">
        <f t="shared" si="7"/>
        <v>4500</v>
      </c>
      <c r="G135" s="89"/>
      <c r="H135" s="89"/>
      <c r="I135" s="90">
        <f t="shared" si="8"/>
        <v>4500</v>
      </c>
    </row>
    <row r="136" spans="1:9" s="44" customFormat="1" ht="25.5" x14ac:dyDescent="0.25">
      <c r="A136" s="118">
        <v>160.69999999999999</v>
      </c>
      <c r="B136" s="45" t="s">
        <v>310</v>
      </c>
      <c r="C136" s="138" t="s">
        <v>44</v>
      </c>
      <c r="D136" s="46">
        <v>1</v>
      </c>
      <c r="E136" s="89">
        <v>3000</v>
      </c>
      <c r="F136" s="89">
        <f t="shared" si="7"/>
        <v>3000</v>
      </c>
      <c r="G136" s="89"/>
      <c r="H136" s="89"/>
      <c r="I136" s="90">
        <f t="shared" si="8"/>
        <v>3000</v>
      </c>
    </row>
    <row r="137" spans="1:9" s="44" customFormat="1" x14ac:dyDescent="0.25">
      <c r="A137" s="118">
        <v>162</v>
      </c>
      <c r="B137" s="45" t="s">
        <v>311</v>
      </c>
      <c r="C137" s="138" t="s">
        <v>44</v>
      </c>
      <c r="D137" s="46">
        <v>1</v>
      </c>
      <c r="E137" s="89">
        <v>5000</v>
      </c>
      <c r="F137" s="89">
        <f t="shared" si="7"/>
        <v>5000</v>
      </c>
      <c r="G137" s="89"/>
      <c r="H137" s="89"/>
      <c r="I137" s="90">
        <f t="shared" si="8"/>
        <v>5000</v>
      </c>
    </row>
    <row r="138" spans="1:9" s="44" customFormat="1" ht="25.5" x14ac:dyDescent="0.25">
      <c r="A138" s="118">
        <v>163.30000000000001</v>
      </c>
      <c r="B138" s="45" t="s">
        <v>312</v>
      </c>
      <c r="C138" s="138" t="s">
        <v>44</v>
      </c>
      <c r="D138" s="46">
        <v>1</v>
      </c>
      <c r="E138" s="89">
        <v>3500</v>
      </c>
      <c r="F138" s="89">
        <f t="shared" si="7"/>
        <v>3500</v>
      </c>
      <c r="G138" s="89"/>
      <c r="H138" s="89"/>
      <c r="I138" s="90">
        <f t="shared" si="8"/>
        <v>3500</v>
      </c>
    </row>
    <row r="139" spans="1:9" s="44" customFormat="1" x14ac:dyDescent="0.25">
      <c r="A139" s="118">
        <v>164.6</v>
      </c>
      <c r="B139" s="45" t="s">
        <v>315</v>
      </c>
      <c r="C139" s="138" t="s">
        <v>44</v>
      </c>
      <c r="D139" s="46">
        <v>1</v>
      </c>
      <c r="E139" s="89">
        <v>3500</v>
      </c>
      <c r="F139" s="89">
        <f t="shared" si="7"/>
        <v>3500</v>
      </c>
      <c r="G139" s="89"/>
      <c r="H139" s="89"/>
      <c r="I139" s="90">
        <f t="shared" si="8"/>
        <v>3500</v>
      </c>
    </row>
    <row r="140" spans="1:9" s="44" customFormat="1" x14ac:dyDescent="0.25">
      <c r="A140" s="118">
        <v>165.9</v>
      </c>
      <c r="B140" s="45" t="s">
        <v>313</v>
      </c>
      <c r="C140" s="138" t="s">
        <v>44</v>
      </c>
      <c r="D140" s="46">
        <v>1</v>
      </c>
      <c r="E140" s="89">
        <v>4500</v>
      </c>
      <c r="F140" s="89">
        <f t="shared" si="7"/>
        <v>4500</v>
      </c>
      <c r="G140" s="89"/>
      <c r="H140" s="89"/>
      <c r="I140" s="90">
        <f t="shared" si="8"/>
        <v>4500</v>
      </c>
    </row>
    <row r="141" spans="1:9" s="44" customFormat="1" x14ac:dyDescent="0.25">
      <c r="A141" s="118">
        <v>167.2</v>
      </c>
      <c r="B141" s="45"/>
      <c r="C141" s="138"/>
      <c r="D141" s="46"/>
      <c r="E141" s="89"/>
      <c r="F141" s="89"/>
      <c r="G141" s="89"/>
      <c r="H141" s="89"/>
      <c r="I141" s="90"/>
    </row>
    <row r="142" spans="1:9" x14ac:dyDescent="0.25">
      <c r="A142" s="118">
        <v>168.5</v>
      </c>
      <c r="B142" s="71" t="s">
        <v>65</v>
      </c>
      <c r="C142" s="6"/>
      <c r="D142" s="8"/>
      <c r="E142" s="25"/>
      <c r="F142" s="25"/>
      <c r="G142" s="25"/>
      <c r="H142" s="25"/>
      <c r="I142" s="88"/>
    </row>
    <row r="143" spans="1:9" s="4" customFormat="1" x14ac:dyDescent="0.2">
      <c r="A143" s="118">
        <v>169.8</v>
      </c>
      <c r="B143" s="50" t="s">
        <v>7</v>
      </c>
      <c r="C143" s="10" t="s">
        <v>4</v>
      </c>
      <c r="D143" s="8">
        <v>2</v>
      </c>
      <c r="E143" s="34">
        <v>4000</v>
      </c>
      <c r="F143" s="34">
        <f>D143*E143</f>
        <v>8000</v>
      </c>
      <c r="G143" s="34"/>
      <c r="H143" s="34"/>
      <c r="I143" s="172">
        <f>F143</f>
        <v>8000</v>
      </c>
    </row>
    <row r="144" spans="1:9" s="4" customFormat="1" x14ac:dyDescent="0.2">
      <c r="A144" s="118">
        <v>171.1</v>
      </c>
      <c r="B144" s="50" t="s">
        <v>68</v>
      </c>
      <c r="C144" s="10" t="s">
        <v>4</v>
      </c>
      <c r="D144" s="8">
        <v>1</v>
      </c>
      <c r="E144" s="34">
        <v>7500</v>
      </c>
      <c r="F144" s="34">
        <f>7500</f>
        <v>7500</v>
      </c>
      <c r="G144" s="34"/>
      <c r="H144" s="34"/>
      <c r="I144" s="172">
        <f>F144</f>
        <v>7500</v>
      </c>
    </row>
    <row r="145" spans="1:11" s="4" customFormat="1" ht="13.5" customHeight="1" x14ac:dyDescent="0.2">
      <c r="A145" s="118">
        <v>172.4</v>
      </c>
      <c r="B145" s="51" t="s">
        <v>318</v>
      </c>
      <c r="C145" s="23" t="s">
        <v>11</v>
      </c>
      <c r="D145" s="24">
        <v>5</v>
      </c>
      <c r="E145" s="35">
        <v>1500</v>
      </c>
      <c r="F145" s="35">
        <f>D145*E145</f>
        <v>7500</v>
      </c>
      <c r="G145" s="35"/>
      <c r="H145" s="35"/>
      <c r="I145" s="173">
        <f>F145</f>
        <v>7500</v>
      </c>
    </row>
    <row r="146" spans="1:11" s="26" customFormat="1" ht="14.25" customHeight="1" x14ac:dyDescent="0.2">
      <c r="A146" s="118">
        <v>173.7</v>
      </c>
      <c r="B146" s="52" t="s">
        <v>5</v>
      </c>
      <c r="C146" s="27" t="s">
        <v>6</v>
      </c>
      <c r="D146" s="25">
        <v>0</v>
      </c>
      <c r="E146" s="25">
        <v>800</v>
      </c>
      <c r="F146" s="25">
        <f>E146*D146</f>
        <v>0</v>
      </c>
      <c r="G146" s="25"/>
      <c r="H146" s="25"/>
      <c r="I146" s="174">
        <f>D146*E146</f>
        <v>0</v>
      </c>
    </row>
    <row r="147" spans="1:11" s="44" customFormat="1" ht="13.5" customHeight="1" x14ac:dyDescent="0.25">
      <c r="A147" s="118">
        <v>175</v>
      </c>
      <c r="B147" s="45" t="s">
        <v>314</v>
      </c>
      <c r="C147" s="42"/>
      <c r="D147" s="43">
        <v>1</v>
      </c>
      <c r="E147" s="73"/>
      <c r="F147" s="73"/>
      <c r="G147" s="73"/>
      <c r="H147" s="73"/>
      <c r="I147" s="82">
        <f>SUM(I14:I145)</f>
        <v>729043.43846533319</v>
      </c>
    </row>
    <row r="148" spans="1:11" s="44" customFormat="1" x14ac:dyDescent="0.25">
      <c r="A148" s="118">
        <v>176.3</v>
      </c>
      <c r="B148" s="45" t="s">
        <v>33</v>
      </c>
      <c r="C148" s="42"/>
      <c r="D148" s="43"/>
      <c r="E148" s="94"/>
      <c r="F148" s="95">
        <f>SUM(F13:F147)*D147</f>
        <v>406427.62</v>
      </c>
      <c r="G148" s="95"/>
      <c r="H148" s="95">
        <f>SUM(H13:H147)</f>
        <v>322615.81846533337</v>
      </c>
      <c r="I148" s="96"/>
      <c r="K148" s="178"/>
    </row>
    <row r="149" spans="1:11" s="44" customFormat="1" x14ac:dyDescent="0.25">
      <c r="A149" s="118">
        <v>177.6</v>
      </c>
      <c r="B149" s="45" t="s">
        <v>37</v>
      </c>
      <c r="C149" s="48" t="s">
        <v>34</v>
      </c>
      <c r="D149" s="46">
        <v>5</v>
      </c>
      <c r="E149" s="95"/>
      <c r="F149" s="95">
        <f>D149/100*F148</f>
        <v>20321.381000000001</v>
      </c>
      <c r="G149" s="95"/>
      <c r="H149" s="95"/>
      <c r="I149" s="96"/>
    </row>
    <row r="150" spans="1:11" s="44" customFormat="1" ht="24" customHeight="1" x14ac:dyDescent="0.25">
      <c r="A150" s="118">
        <v>178.9</v>
      </c>
      <c r="B150" s="45" t="s">
        <v>75</v>
      </c>
      <c r="C150" s="48" t="s">
        <v>34</v>
      </c>
      <c r="D150" s="46">
        <v>5</v>
      </c>
      <c r="E150" s="95"/>
      <c r="F150" s="95"/>
      <c r="G150" s="95"/>
      <c r="H150" s="95">
        <f>D150/100*H148</f>
        <v>16130.79092326667</v>
      </c>
      <c r="I150" s="96"/>
      <c r="K150" s="44">
        <f>688+130+37</f>
        <v>855</v>
      </c>
    </row>
    <row r="151" spans="1:11" s="44" customFormat="1" ht="3" hidden="1" customHeight="1" x14ac:dyDescent="0.25">
      <c r="A151" s="118">
        <v>180.2</v>
      </c>
      <c r="B151" s="45" t="s">
        <v>67</v>
      </c>
      <c r="C151" s="48" t="s">
        <v>34</v>
      </c>
      <c r="D151" s="46">
        <v>0</v>
      </c>
      <c r="E151" s="95"/>
      <c r="F151" s="95">
        <f>F148/100*D151</f>
        <v>0</v>
      </c>
      <c r="G151" s="95"/>
      <c r="H151" s="95">
        <f>H148/100*D151</f>
        <v>0</v>
      </c>
      <c r="I151" s="96"/>
    </row>
    <row r="152" spans="1:11" s="44" customFormat="1" x14ac:dyDescent="0.25">
      <c r="A152" s="118">
        <v>181.5</v>
      </c>
      <c r="B152" s="45" t="s">
        <v>35</v>
      </c>
      <c r="C152" s="97"/>
      <c r="D152" s="97"/>
      <c r="E152" s="95"/>
      <c r="F152" s="95">
        <f>SUM(F148:F151)</f>
        <v>426749.00099999999</v>
      </c>
      <c r="G152" s="95"/>
      <c r="H152" s="95">
        <f>SUM(H148:H151)</f>
        <v>338746.60938860005</v>
      </c>
      <c r="I152" s="96">
        <f>F152+H152</f>
        <v>765495.61038860003</v>
      </c>
    </row>
    <row r="153" spans="1:11" s="44" customFormat="1" ht="29.25" hidden="1" customHeight="1" x14ac:dyDescent="0.25">
      <c r="A153" s="118">
        <v>182.8</v>
      </c>
      <c r="B153" s="63"/>
      <c r="C153" s="64"/>
      <c r="D153" s="64"/>
      <c r="E153" s="65"/>
      <c r="F153" s="65"/>
      <c r="G153" s="65"/>
      <c r="H153" s="65"/>
      <c r="I153" s="66"/>
    </row>
    <row r="154" spans="1:11" s="4" customFormat="1" x14ac:dyDescent="0.2">
      <c r="A154" s="118">
        <v>184.1</v>
      </c>
      <c r="B154" s="203" t="s">
        <v>319</v>
      </c>
      <c r="C154" s="209" t="s">
        <v>34</v>
      </c>
      <c r="D154" s="205">
        <v>10</v>
      </c>
      <c r="E154" s="71"/>
      <c r="F154" s="71"/>
      <c r="G154" s="71"/>
      <c r="H154" s="206" t="s">
        <v>176</v>
      </c>
      <c r="I154" s="207">
        <f>I152*0.1</f>
        <v>76549.561038860003</v>
      </c>
    </row>
    <row r="155" spans="1:11" s="4" customFormat="1" x14ac:dyDescent="0.2">
      <c r="A155" s="118">
        <v>185.4</v>
      </c>
      <c r="B155" s="203" t="s">
        <v>320</v>
      </c>
      <c r="C155" s="204"/>
      <c r="D155" s="205"/>
      <c r="E155" s="71"/>
      <c r="F155" s="71"/>
      <c r="G155" s="71"/>
      <c r="H155" s="71"/>
      <c r="I155" s="208">
        <f>I152-I154</f>
        <v>688946.04934974003</v>
      </c>
    </row>
    <row r="156" spans="1:11" s="4" customFormat="1" x14ac:dyDescent="0.2">
      <c r="A156" s="54"/>
      <c r="B156" s="28"/>
      <c r="C156" s="13"/>
      <c r="D156" s="14"/>
      <c r="E156" s="200"/>
      <c r="F156" s="200"/>
      <c r="G156" s="200"/>
      <c r="H156" s="200"/>
      <c r="I156" s="175"/>
    </row>
    <row r="157" spans="1:11" s="4" customFormat="1" x14ac:dyDescent="0.2">
      <c r="A157" s="54"/>
      <c r="B157" s="28"/>
      <c r="C157" s="13"/>
      <c r="D157" s="14"/>
      <c r="E157" s="200"/>
      <c r="F157" s="200"/>
      <c r="G157" s="200"/>
      <c r="H157" s="200"/>
      <c r="I157" s="175"/>
    </row>
    <row r="158" spans="1:11" s="17" customFormat="1" x14ac:dyDescent="0.2">
      <c r="A158" s="53"/>
      <c r="B158" s="29"/>
      <c r="C158" s="15"/>
      <c r="D158" s="16"/>
      <c r="E158" s="37"/>
      <c r="F158" s="37"/>
      <c r="G158" s="37"/>
      <c r="H158" s="37"/>
      <c r="I158" s="175"/>
    </row>
    <row r="159" spans="1:11" s="17" customFormat="1" ht="15" x14ac:dyDescent="0.25">
      <c r="A159" s="53"/>
      <c r="B159" s="30" t="s">
        <v>8</v>
      </c>
      <c r="C159" s="18"/>
      <c r="E159"/>
      <c r="F159" s="56" t="s">
        <v>9</v>
      </c>
      <c r="G159"/>
      <c r="H159"/>
      <c r="I159" s="176"/>
    </row>
    <row r="160" spans="1:11" s="17" customFormat="1" ht="13.5" thickBot="1" x14ac:dyDescent="0.25">
      <c r="A160" s="53"/>
      <c r="B160" s="31"/>
      <c r="C160" s="18"/>
      <c r="D160" s="14"/>
      <c r="E160" s="211"/>
      <c r="F160" s="38"/>
      <c r="G160" s="38"/>
      <c r="H160" s="38"/>
      <c r="I160" s="177"/>
    </row>
    <row r="161" spans="1:9" s="17" customFormat="1" x14ac:dyDescent="0.2">
      <c r="A161" s="53"/>
      <c r="B161" s="210"/>
      <c r="C161" s="18"/>
      <c r="D161" s="14"/>
      <c r="E161" s="211"/>
      <c r="F161" s="211"/>
      <c r="G161" s="211"/>
      <c r="H161" s="211"/>
      <c r="I161" s="212"/>
    </row>
    <row r="162" spans="1:9" s="17" customFormat="1" x14ac:dyDescent="0.2">
      <c r="A162" s="53"/>
      <c r="B162" s="210"/>
      <c r="C162" s="18"/>
      <c r="D162" s="14"/>
      <c r="E162" s="211"/>
      <c r="F162" s="211"/>
      <c r="G162" s="211"/>
      <c r="H162" s="211"/>
      <c r="I162" s="212"/>
    </row>
    <row r="163" spans="1:9" s="17" customFormat="1" x14ac:dyDescent="0.2">
      <c r="A163" s="53"/>
      <c r="B163" s="210"/>
      <c r="C163" s="18"/>
      <c r="D163" s="14"/>
      <c r="E163" s="211"/>
      <c r="F163" s="211"/>
      <c r="G163" s="211"/>
      <c r="H163" s="40" t="s">
        <v>327</v>
      </c>
      <c r="I163" s="212"/>
    </row>
    <row r="164" spans="1:9" s="17" customFormat="1" x14ac:dyDescent="0.2">
      <c r="A164" s="53"/>
      <c r="B164" s="210"/>
      <c r="C164" s="18"/>
      <c r="D164" s="14"/>
      <c r="E164" s="211"/>
      <c r="F164" s="211"/>
      <c r="G164" s="211"/>
      <c r="H164" s="211"/>
      <c r="I164" s="212"/>
    </row>
    <row r="165" spans="1:9" s="17" customFormat="1" x14ac:dyDescent="0.2">
      <c r="A165" s="53"/>
      <c r="B165" s="210"/>
      <c r="C165" s="18"/>
      <c r="D165" s="14"/>
      <c r="E165" s="211"/>
      <c r="F165" s="211"/>
      <c r="G165" s="211"/>
      <c r="H165" s="211"/>
      <c r="I165" s="212"/>
    </row>
    <row r="166" spans="1:9" s="17" customFormat="1" x14ac:dyDescent="0.2">
      <c r="A166" s="53"/>
      <c r="B166" s="210"/>
      <c r="C166" s="18"/>
      <c r="D166" s="14"/>
      <c r="E166" s="211"/>
      <c r="F166" s="211"/>
      <c r="G166" s="211"/>
      <c r="H166" s="211"/>
      <c r="I166" s="212"/>
    </row>
    <row r="167" spans="1:9" s="17" customFormat="1" ht="38.25" customHeight="1" x14ac:dyDescent="0.2">
      <c r="A167" s="53"/>
      <c r="B167" s="210"/>
      <c r="C167" s="18"/>
      <c r="D167" s="14"/>
      <c r="E167" s="211"/>
      <c r="F167" s="211"/>
      <c r="G167" s="211"/>
      <c r="H167" s="211"/>
      <c r="I167" s="212"/>
    </row>
    <row r="168" spans="1:9" s="17" customFormat="1" x14ac:dyDescent="0.2">
      <c r="A168" s="53"/>
      <c r="B168" s="224" t="s">
        <v>171</v>
      </c>
      <c r="C168" s="18"/>
      <c r="D168" s="14"/>
      <c r="E168" s="211"/>
      <c r="F168" s="211"/>
      <c r="G168" s="211"/>
      <c r="H168" s="211"/>
      <c r="I168" s="212"/>
    </row>
    <row r="169" spans="1:9" s="17" customFormat="1" x14ac:dyDescent="0.2">
      <c r="A169" s="53"/>
      <c r="B169" s="224"/>
      <c r="C169" s="18"/>
      <c r="D169" s="14"/>
      <c r="E169" s="211"/>
      <c r="F169" s="211"/>
      <c r="G169" s="211"/>
      <c r="H169" s="211"/>
      <c r="I169" s="212"/>
    </row>
    <row r="170" spans="1:9" x14ac:dyDescent="0.25">
      <c r="B170" s="60" t="s">
        <v>39</v>
      </c>
      <c r="G170" s="61" t="s">
        <v>40</v>
      </c>
    </row>
    <row r="171" spans="1:9" x14ac:dyDescent="0.25">
      <c r="B171" s="57"/>
      <c r="G171" s="58"/>
      <c r="H171" s="58"/>
      <c r="I171" s="59"/>
    </row>
    <row r="172" spans="1:9" x14ac:dyDescent="0.25">
      <c r="B172" s="68"/>
      <c r="G172" s="69"/>
      <c r="H172" s="69"/>
      <c r="I172" s="70"/>
    </row>
    <row r="173" spans="1:9" ht="29.25" customHeight="1" x14ac:dyDescent="0.25"/>
    <row r="174" spans="1:9" s="17" customFormat="1" ht="20.25" x14ac:dyDescent="0.2">
      <c r="A174" s="273" t="s">
        <v>38</v>
      </c>
      <c r="B174" s="273"/>
      <c r="C174" s="273"/>
      <c r="D174" s="273"/>
      <c r="E174" s="273"/>
      <c r="F174" s="273"/>
      <c r="G174" s="273"/>
      <c r="H174" s="273"/>
      <c r="I174" s="273"/>
    </row>
    <row r="175" spans="1:9" ht="15.75" x14ac:dyDescent="0.25">
      <c r="A175" s="272" t="s">
        <v>328</v>
      </c>
      <c r="B175" s="272"/>
      <c r="C175" s="272"/>
      <c r="D175" s="272"/>
      <c r="E175" s="272"/>
      <c r="F175" s="272"/>
      <c r="G175" s="272"/>
      <c r="H175" s="272"/>
      <c r="I175" s="272"/>
    </row>
    <row r="176" spans="1:9" x14ac:dyDescent="0.2">
      <c r="A176" s="220" t="s">
        <v>325</v>
      </c>
      <c r="B176" s="220"/>
      <c r="C176" s="220"/>
      <c r="D176" s="220"/>
      <c r="E176" s="220"/>
      <c r="F176" s="220"/>
      <c r="G176" s="221">
        <f>I250</f>
        <v>130648.73999999999</v>
      </c>
      <c r="H176" s="222" t="s">
        <v>326</v>
      </c>
      <c r="I176" s="223"/>
    </row>
    <row r="177" spans="1:9" ht="60" x14ac:dyDescent="0.25">
      <c r="A177" s="83" t="s">
        <v>0</v>
      </c>
      <c r="B177" s="84" t="s">
        <v>1</v>
      </c>
      <c r="C177" s="85" t="s">
        <v>10</v>
      </c>
      <c r="D177" s="85" t="s">
        <v>2</v>
      </c>
      <c r="E177" s="84" t="s">
        <v>13</v>
      </c>
      <c r="F177" s="84" t="s">
        <v>14</v>
      </c>
      <c r="G177" s="84" t="s">
        <v>15</v>
      </c>
      <c r="H177" s="84" t="s">
        <v>16</v>
      </c>
      <c r="I177" s="86" t="s">
        <v>17</v>
      </c>
    </row>
    <row r="178" spans="1:9" ht="15" hidden="1" x14ac:dyDescent="0.25">
      <c r="A178" s="118">
        <v>1</v>
      </c>
      <c r="B178" s="87" t="s">
        <v>177</v>
      </c>
      <c r="C178" s="127"/>
      <c r="D178" s="127"/>
      <c r="E178" s="128"/>
      <c r="F178" s="128"/>
      <c r="G178" s="118"/>
      <c r="H178" s="118"/>
      <c r="I178" s="157"/>
    </row>
    <row r="179" spans="1:9" ht="15" hidden="1" customHeight="1" x14ac:dyDescent="0.25">
      <c r="A179" s="118">
        <v>2</v>
      </c>
      <c r="B179" s="45" t="s">
        <v>178</v>
      </c>
      <c r="C179" s="48" t="s">
        <v>44</v>
      </c>
      <c r="D179" s="46">
        <v>0</v>
      </c>
      <c r="E179" s="89">
        <v>0</v>
      </c>
      <c r="F179" s="89">
        <f>D179*E179</f>
        <v>0</v>
      </c>
      <c r="G179" s="89"/>
      <c r="H179" s="89"/>
      <c r="I179" s="90">
        <f>F179</f>
        <v>0</v>
      </c>
    </row>
    <row r="180" spans="1:9" ht="27" hidden="1" customHeight="1" x14ac:dyDescent="0.25">
      <c r="A180" s="118">
        <v>3</v>
      </c>
      <c r="B180" s="41" t="s">
        <v>179</v>
      </c>
      <c r="C180" s="42" t="s">
        <v>44</v>
      </c>
      <c r="D180" s="43">
        <v>0</v>
      </c>
      <c r="E180" s="73"/>
      <c r="F180" s="73"/>
      <c r="G180" s="73">
        <v>0</v>
      </c>
      <c r="H180" s="73">
        <f>D180*G180</f>
        <v>0</v>
      </c>
      <c r="I180" s="82">
        <f>H180</f>
        <v>0</v>
      </c>
    </row>
    <row r="181" spans="1:9" ht="15" hidden="1" customHeight="1" x14ac:dyDescent="0.25">
      <c r="A181" s="118">
        <v>4</v>
      </c>
      <c r="B181" s="41" t="s">
        <v>180</v>
      </c>
      <c r="C181" s="42" t="s">
        <v>44</v>
      </c>
      <c r="D181" s="43">
        <v>0</v>
      </c>
      <c r="E181" s="73"/>
      <c r="F181" s="73"/>
      <c r="G181" s="73">
        <v>0</v>
      </c>
      <c r="H181" s="73">
        <f>D181*G181</f>
        <v>0</v>
      </c>
      <c r="I181" s="82">
        <f>H181</f>
        <v>0</v>
      </c>
    </row>
    <row r="182" spans="1:9" ht="22.5" hidden="1" customHeight="1" x14ac:dyDescent="0.25">
      <c r="A182" s="118">
        <v>5</v>
      </c>
      <c r="B182" s="45" t="s">
        <v>181</v>
      </c>
      <c r="C182" s="48" t="s">
        <v>44</v>
      </c>
      <c r="D182" s="46">
        <v>0</v>
      </c>
      <c r="E182" s="89">
        <v>0</v>
      </c>
      <c r="F182" s="89">
        <f>D182*E182</f>
        <v>0</v>
      </c>
      <c r="G182" s="89"/>
      <c r="H182" s="89"/>
      <c r="I182" s="90">
        <f>F182</f>
        <v>0</v>
      </c>
    </row>
    <row r="183" spans="1:9" ht="33" hidden="1" customHeight="1" x14ac:dyDescent="0.25">
      <c r="A183" s="118">
        <v>6</v>
      </c>
      <c r="B183" s="41" t="s">
        <v>182</v>
      </c>
      <c r="C183" s="42" t="s">
        <v>44</v>
      </c>
      <c r="D183" s="43">
        <v>0</v>
      </c>
      <c r="E183" s="89"/>
      <c r="F183" s="89"/>
      <c r="G183" s="73">
        <v>4500</v>
      </c>
      <c r="H183" s="73">
        <f>D183*G183</f>
        <v>0</v>
      </c>
      <c r="I183" s="82">
        <f>H183</f>
        <v>0</v>
      </c>
    </row>
    <row r="184" spans="1:9" ht="15" hidden="1" customHeight="1" x14ac:dyDescent="0.25">
      <c r="A184" s="118">
        <v>7</v>
      </c>
      <c r="B184" s="41" t="s">
        <v>183</v>
      </c>
      <c r="C184" s="42" t="s">
        <v>44</v>
      </c>
      <c r="D184" s="43">
        <v>0</v>
      </c>
      <c r="E184" s="73"/>
      <c r="F184" s="73"/>
      <c r="G184" s="73">
        <v>12500</v>
      </c>
      <c r="H184" s="73">
        <f t="shared" ref="H184:H190" si="9">D184*G184</f>
        <v>0</v>
      </c>
      <c r="I184" s="82">
        <f t="shared" ref="I184:I201" si="10">H184</f>
        <v>0</v>
      </c>
    </row>
    <row r="185" spans="1:9" ht="15" hidden="1" customHeight="1" x14ac:dyDescent="0.25">
      <c r="A185" s="118">
        <v>8</v>
      </c>
      <c r="B185" s="41" t="s">
        <v>184</v>
      </c>
      <c r="C185" s="42" t="s">
        <v>44</v>
      </c>
      <c r="D185" s="43">
        <v>0</v>
      </c>
      <c r="E185" s="73"/>
      <c r="F185" s="73"/>
      <c r="G185" s="73">
        <v>550</v>
      </c>
      <c r="H185" s="73">
        <f t="shared" si="9"/>
        <v>0</v>
      </c>
      <c r="I185" s="82">
        <f t="shared" si="10"/>
        <v>0</v>
      </c>
    </row>
    <row r="186" spans="1:9" ht="15" hidden="1" customHeight="1" x14ac:dyDescent="0.25">
      <c r="A186" s="118">
        <v>9</v>
      </c>
      <c r="B186" s="41" t="s">
        <v>185</v>
      </c>
      <c r="C186" s="42" t="s">
        <v>44</v>
      </c>
      <c r="D186" s="43">
        <v>0</v>
      </c>
      <c r="E186" s="73"/>
      <c r="F186" s="73"/>
      <c r="G186" s="73">
        <v>326</v>
      </c>
      <c r="H186" s="73">
        <f t="shared" si="9"/>
        <v>0</v>
      </c>
      <c r="I186" s="82">
        <f t="shared" si="10"/>
        <v>0</v>
      </c>
    </row>
    <row r="187" spans="1:9" ht="15" hidden="1" customHeight="1" x14ac:dyDescent="0.25">
      <c r="A187" s="118">
        <v>10</v>
      </c>
      <c r="B187" s="41" t="s">
        <v>186</v>
      </c>
      <c r="C187" s="42" t="s">
        <v>44</v>
      </c>
      <c r="D187" s="43">
        <v>0</v>
      </c>
      <c r="E187" s="73"/>
      <c r="F187" s="73"/>
      <c r="G187" s="73">
        <v>514</v>
      </c>
      <c r="H187" s="73">
        <f t="shared" si="9"/>
        <v>0</v>
      </c>
      <c r="I187" s="82">
        <f t="shared" si="10"/>
        <v>0</v>
      </c>
    </row>
    <row r="188" spans="1:9" ht="28.5" hidden="1" customHeight="1" x14ac:dyDescent="0.25">
      <c r="A188" s="118">
        <v>11</v>
      </c>
      <c r="B188" s="41" t="s">
        <v>187</v>
      </c>
      <c r="C188" s="42" t="s">
        <v>44</v>
      </c>
      <c r="D188" s="43">
        <v>0</v>
      </c>
      <c r="E188" s="73"/>
      <c r="F188" s="73"/>
      <c r="G188" s="73">
        <v>1634</v>
      </c>
      <c r="H188" s="73">
        <f t="shared" si="9"/>
        <v>0</v>
      </c>
      <c r="I188" s="82">
        <f t="shared" si="10"/>
        <v>0</v>
      </c>
    </row>
    <row r="189" spans="1:9" ht="15" hidden="1" customHeight="1" x14ac:dyDescent="0.25">
      <c r="A189" s="118">
        <v>12</v>
      </c>
      <c r="B189" s="41" t="s">
        <v>188</v>
      </c>
      <c r="C189" s="42" t="s">
        <v>44</v>
      </c>
      <c r="D189" s="43">
        <v>0</v>
      </c>
      <c r="E189" s="73"/>
      <c r="F189" s="73"/>
      <c r="G189" s="73">
        <v>165</v>
      </c>
      <c r="H189" s="73">
        <f t="shared" si="9"/>
        <v>0</v>
      </c>
      <c r="I189" s="82">
        <f t="shared" si="10"/>
        <v>0</v>
      </c>
    </row>
    <row r="190" spans="1:9" ht="15" hidden="1" customHeight="1" x14ac:dyDescent="0.25">
      <c r="A190" s="118">
        <v>13</v>
      </c>
      <c r="B190" s="41" t="s">
        <v>189</v>
      </c>
      <c r="C190" s="42" t="s">
        <v>44</v>
      </c>
      <c r="D190" s="43">
        <v>0</v>
      </c>
      <c r="E190" s="73"/>
      <c r="F190" s="73"/>
      <c r="G190" s="73">
        <v>150</v>
      </c>
      <c r="H190" s="73">
        <f t="shared" si="9"/>
        <v>0</v>
      </c>
      <c r="I190" s="82">
        <f t="shared" si="10"/>
        <v>0</v>
      </c>
    </row>
    <row r="191" spans="1:9" ht="22.5" hidden="1" customHeight="1" x14ac:dyDescent="0.25">
      <c r="A191" s="118">
        <v>14</v>
      </c>
      <c r="B191" s="45" t="s">
        <v>190</v>
      </c>
      <c r="C191" s="48" t="s">
        <v>101</v>
      </c>
      <c r="D191" s="43">
        <v>0</v>
      </c>
      <c r="E191" s="89">
        <v>1200</v>
      </c>
      <c r="F191" s="89">
        <f>D191*E191</f>
        <v>0</v>
      </c>
      <c r="G191" s="89"/>
      <c r="H191" s="89"/>
      <c r="I191" s="90">
        <f>F191</f>
        <v>0</v>
      </c>
    </row>
    <row r="192" spans="1:9" ht="24.75" hidden="1" customHeight="1" x14ac:dyDescent="0.25">
      <c r="A192" s="118">
        <v>15</v>
      </c>
      <c r="B192" s="41" t="s">
        <v>191</v>
      </c>
      <c r="C192" s="42" t="s">
        <v>101</v>
      </c>
      <c r="D192" s="43">
        <v>0</v>
      </c>
      <c r="E192" s="73"/>
      <c r="F192" s="73"/>
      <c r="G192" s="73">
        <f>170/2</f>
        <v>85</v>
      </c>
      <c r="H192" s="73">
        <f>D192*G192</f>
        <v>0</v>
      </c>
      <c r="I192" s="82">
        <f t="shared" si="10"/>
        <v>0</v>
      </c>
    </row>
    <row r="193" spans="1:9" ht="24" hidden="1" customHeight="1" x14ac:dyDescent="0.25">
      <c r="A193" s="118">
        <v>16</v>
      </c>
      <c r="B193" s="41" t="s">
        <v>192</v>
      </c>
      <c r="C193" s="42" t="s">
        <v>101</v>
      </c>
      <c r="D193" s="43">
        <v>0</v>
      </c>
      <c r="E193" s="73"/>
      <c r="F193" s="73"/>
      <c r="G193" s="73">
        <f>288/2</f>
        <v>144</v>
      </c>
      <c r="H193" s="73">
        <f t="shared" ref="H193:H201" si="11">D193*G193</f>
        <v>0</v>
      </c>
      <c r="I193" s="82">
        <f t="shared" si="10"/>
        <v>0</v>
      </c>
    </row>
    <row r="194" spans="1:9" ht="15" hidden="1" customHeight="1" x14ac:dyDescent="0.25">
      <c r="A194" s="118">
        <v>17</v>
      </c>
      <c r="B194" s="41" t="s">
        <v>193</v>
      </c>
      <c r="C194" s="42" t="s">
        <v>44</v>
      </c>
      <c r="D194" s="43">
        <v>0</v>
      </c>
      <c r="E194" s="73"/>
      <c r="F194" s="73"/>
      <c r="G194" s="73">
        <v>38</v>
      </c>
      <c r="H194" s="73">
        <f t="shared" si="11"/>
        <v>0</v>
      </c>
      <c r="I194" s="82">
        <f t="shared" si="10"/>
        <v>0</v>
      </c>
    </row>
    <row r="195" spans="1:9" ht="15" hidden="1" customHeight="1" x14ac:dyDescent="0.25">
      <c r="A195" s="118">
        <v>18</v>
      </c>
      <c r="B195" s="41" t="s">
        <v>194</v>
      </c>
      <c r="C195" s="42" t="s">
        <v>44</v>
      </c>
      <c r="D195" s="43">
        <v>0</v>
      </c>
      <c r="E195" s="73"/>
      <c r="F195" s="73"/>
      <c r="G195" s="73">
        <v>38</v>
      </c>
      <c r="H195" s="73">
        <f t="shared" si="11"/>
        <v>0</v>
      </c>
      <c r="I195" s="82">
        <f t="shared" si="10"/>
        <v>0</v>
      </c>
    </row>
    <row r="196" spans="1:9" ht="15" hidden="1" customHeight="1" x14ac:dyDescent="0.25">
      <c r="A196" s="118">
        <v>19</v>
      </c>
      <c r="B196" s="41" t="s">
        <v>195</v>
      </c>
      <c r="C196" s="42" t="s">
        <v>44</v>
      </c>
      <c r="D196" s="43">
        <v>0</v>
      </c>
      <c r="E196" s="73"/>
      <c r="F196" s="73"/>
      <c r="G196" s="73">
        <v>45</v>
      </c>
      <c r="H196" s="73">
        <f>D196*G196</f>
        <v>0</v>
      </c>
      <c r="I196" s="82">
        <f t="shared" si="10"/>
        <v>0</v>
      </c>
    </row>
    <row r="197" spans="1:9" ht="15" hidden="1" customHeight="1" x14ac:dyDescent="0.25">
      <c r="A197" s="118">
        <v>20</v>
      </c>
      <c r="B197" s="41" t="s">
        <v>196</v>
      </c>
      <c r="C197" s="42" t="s">
        <v>44</v>
      </c>
      <c r="D197" s="43">
        <v>0</v>
      </c>
      <c r="E197" s="73"/>
      <c r="F197" s="73"/>
      <c r="G197" s="73">
        <v>58</v>
      </c>
      <c r="H197" s="73">
        <f>D197*G197</f>
        <v>0</v>
      </c>
      <c r="I197" s="82">
        <f t="shared" si="10"/>
        <v>0</v>
      </c>
    </row>
    <row r="198" spans="1:9" ht="15" hidden="1" customHeight="1" x14ac:dyDescent="0.25">
      <c r="A198" s="118">
        <v>21</v>
      </c>
      <c r="B198" s="41" t="s">
        <v>197</v>
      </c>
      <c r="C198" s="42" t="s">
        <v>198</v>
      </c>
      <c r="D198" s="43">
        <v>0</v>
      </c>
      <c r="E198" s="73"/>
      <c r="F198" s="73"/>
      <c r="G198" s="73">
        <v>52</v>
      </c>
      <c r="H198" s="73">
        <f t="shared" si="11"/>
        <v>0</v>
      </c>
      <c r="I198" s="82">
        <f t="shared" si="10"/>
        <v>0</v>
      </c>
    </row>
    <row r="199" spans="1:9" ht="15" hidden="1" customHeight="1" x14ac:dyDescent="0.25">
      <c r="A199" s="118">
        <v>22</v>
      </c>
      <c r="B199" s="41" t="s">
        <v>199</v>
      </c>
      <c r="C199" s="42" t="s">
        <v>101</v>
      </c>
      <c r="D199" s="43">
        <v>0</v>
      </c>
      <c r="E199" s="73"/>
      <c r="F199" s="73"/>
      <c r="G199" s="73">
        <v>340</v>
      </c>
      <c r="H199" s="73">
        <f t="shared" si="11"/>
        <v>0</v>
      </c>
      <c r="I199" s="82">
        <f t="shared" si="10"/>
        <v>0</v>
      </c>
    </row>
    <row r="200" spans="1:9" ht="15" hidden="1" customHeight="1" x14ac:dyDescent="0.25">
      <c r="A200" s="118">
        <v>23</v>
      </c>
      <c r="B200" s="41" t="s">
        <v>200</v>
      </c>
      <c r="C200" s="42" t="s">
        <v>44</v>
      </c>
      <c r="D200" s="43">
        <v>0</v>
      </c>
      <c r="E200" s="73"/>
      <c r="F200" s="73"/>
      <c r="G200" s="73">
        <v>35</v>
      </c>
      <c r="H200" s="73">
        <f t="shared" si="11"/>
        <v>0</v>
      </c>
      <c r="I200" s="82">
        <f t="shared" si="10"/>
        <v>0</v>
      </c>
    </row>
    <row r="201" spans="1:9" ht="15" hidden="1" customHeight="1" x14ac:dyDescent="0.25">
      <c r="A201" s="118">
        <v>24</v>
      </c>
      <c r="B201" s="41" t="s">
        <v>201</v>
      </c>
      <c r="C201" s="42" t="s">
        <v>101</v>
      </c>
      <c r="D201" s="43">
        <v>0</v>
      </c>
      <c r="E201" s="73"/>
      <c r="F201" s="73"/>
      <c r="G201" s="73">
        <v>280</v>
      </c>
      <c r="H201" s="73">
        <f t="shared" si="11"/>
        <v>0</v>
      </c>
      <c r="I201" s="82">
        <f t="shared" si="10"/>
        <v>0</v>
      </c>
    </row>
    <row r="202" spans="1:9" ht="15" hidden="1" customHeight="1" x14ac:dyDescent="0.25">
      <c r="A202" s="118">
        <v>25</v>
      </c>
      <c r="B202" s="41" t="s">
        <v>46</v>
      </c>
      <c r="C202" s="42" t="s">
        <v>3</v>
      </c>
      <c r="D202" s="43">
        <v>0</v>
      </c>
      <c r="E202" s="73"/>
      <c r="F202" s="73"/>
      <c r="G202" s="73">
        <v>4.03</v>
      </c>
      <c r="H202" s="73">
        <f>D202*G202</f>
        <v>0</v>
      </c>
      <c r="I202" s="82">
        <f>H202</f>
        <v>0</v>
      </c>
    </row>
    <row r="203" spans="1:9" ht="15" hidden="1" customHeight="1" x14ac:dyDescent="0.25">
      <c r="A203" s="118"/>
      <c r="B203" s="45" t="s">
        <v>202</v>
      </c>
      <c r="C203" s="42" t="s">
        <v>44</v>
      </c>
      <c r="D203" s="43">
        <v>0</v>
      </c>
      <c r="E203" s="89">
        <v>3500</v>
      </c>
      <c r="F203" s="89">
        <f>D203*E203</f>
        <v>0</v>
      </c>
      <c r="G203" s="89"/>
      <c r="H203" s="89"/>
      <c r="I203" s="90">
        <f>F203</f>
        <v>0</v>
      </c>
    </row>
    <row r="204" spans="1:9" ht="15" hidden="1" customHeight="1" x14ac:dyDescent="0.25">
      <c r="A204" s="133"/>
      <c r="B204" s="41" t="s">
        <v>203</v>
      </c>
      <c r="C204" s="42" t="s">
        <v>44</v>
      </c>
      <c r="D204" s="43">
        <v>0</v>
      </c>
      <c r="E204" s="73"/>
      <c r="F204" s="73"/>
      <c r="G204" s="73">
        <v>0</v>
      </c>
      <c r="H204" s="73">
        <f>D204*G204</f>
        <v>0</v>
      </c>
      <c r="I204" s="82">
        <f>H204</f>
        <v>0</v>
      </c>
    </row>
    <row r="205" spans="1:9" ht="15" hidden="1" customHeight="1" x14ac:dyDescent="0.25">
      <c r="A205" s="118">
        <v>26</v>
      </c>
      <c r="B205" s="45" t="s">
        <v>204</v>
      </c>
      <c r="C205" s="48" t="s">
        <v>198</v>
      </c>
      <c r="D205" s="46">
        <v>0</v>
      </c>
      <c r="E205" s="89">
        <v>0</v>
      </c>
      <c r="F205" s="89">
        <f>D205*E205</f>
        <v>0</v>
      </c>
      <c r="G205" s="89"/>
      <c r="H205" s="89"/>
      <c r="I205" s="90">
        <f>F205</f>
        <v>0</v>
      </c>
    </row>
    <row r="206" spans="1:9" ht="24" customHeight="1" x14ac:dyDescent="0.25">
      <c r="A206" s="118">
        <v>1</v>
      </c>
      <c r="B206" s="45" t="s">
        <v>205</v>
      </c>
      <c r="C206" s="48" t="s">
        <v>101</v>
      </c>
      <c r="D206" s="46">
        <f>2+12+9</f>
        <v>23</v>
      </c>
      <c r="E206" s="89">
        <v>1800</v>
      </c>
      <c r="F206" s="89">
        <f>D206*E206</f>
        <v>41400</v>
      </c>
      <c r="G206" s="89"/>
      <c r="H206" s="89"/>
      <c r="I206" s="90">
        <f>F206</f>
        <v>41400</v>
      </c>
    </row>
    <row r="207" spans="1:9" ht="25.5" x14ac:dyDescent="0.25">
      <c r="A207" s="118">
        <v>2</v>
      </c>
      <c r="B207" s="41" t="s">
        <v>206</v>
      </c>
      <c r="C207" s="42" t="s">
        <v>198</v>
      </c>
      <c r="D207" s="43">
        <v>2</v>
      </c>
      <c r="E207" s="73"/>
      <c r="F207" s="73"/>
      <c r="G207" s="73">
        <f>597/3</f>
        <v>199</v>
      </c>
      <c r="H207" s="73">
        <f t="shared" ref="H207:H212" si="12">D207*G207</f>
        <v>398</v>
      </c>
      <c r="I207" s="82">
        <f t="shared" ref="I207:I234" si="13">H207</f>
        <v>398</v>
      </c>
    </row>
    <row r="208" spans="1:9" ht="25.5" x14ac:dyDescent="0.25">
      <c r="A208" s="118">
        <v>3</v>
      </c>
      <c r="B208" s="41" t="s">
        <v>277</v>
      </c>
      <c r="C208" s="42" t="s">
        <v>44</v>
      </c>
      <c r="D208" s="43">
        <v>2</v>
      </c>
      <c r="E208" s="73"/>
      <c r="F208" s="73"/>
      <c r="G208" s="73">
        <v>110</v>
      </c>
      <c r="H208" s="73">
        <f t="shared" si="12"/>
        <v>220</v>
      </c>
      <c r="I208" s="82">
        <f>H208</f>
        <v>220</v>
      </c>
    </row>
    <row r="209" spans="1:9" ht="25.5" x14ac:dyDescent="0.25">
      <c r="A209" s="118">
        <v>4</v>
      </c>
      <c r="B209" s="41" t="s">
        <v>207</v>
      </c>
      <c r="C209" s="42" t="s">
        <v>198</v>
      </c>
      <c r="D209" s="43">
        <v>12</v>
      </c>
      <c r="E209" s="73"/>
      <c r="F209" s="73"/>
      <c r="G209" s="73">
        <f>725/3</f>
        <v>241.66666666666666</v>
      </c>
      <c r="H209" s="73">
        <f t="shared" si="12"/>
        <v>2900</v>
      </c>
      <c r="I209" s="82">
        <f t="shared" si="13"/>
        <v>2900</v>
      </c>
    </row>
    <row r="210" spans="1:9" ht="25.5" x14ac:dyDescent="0.25">
      <c r="A210" s="118">
        <v>5</v>
      </c>
      <c r="B210" s="41" t="s">
        <v>278</v>
      </c>
      <c r="C210" s="42" t="s">
        <v>44</v>
      </c>
      <c r="D210" s="43">
        <v>12</v>
      </c>
      <c r="E210" s="73"/>
      <c r="F210" s="73"/>
      <c r="G210" s="73">
        <v>140</v>
      </c>
      <c r="H210" s="73">
        <f t="shared" si="12"/>
        <v>1680</v>
      </c>
      <c r="I210" s="82">
        <f t="shared" si="13"/>
        <v>1680</v>
      </c>
    </row>
    <row r="211" spans="1:9" ht="25.5" x14ac:dyDescent="0.25">
      <c r="A211" s="118">
        <v>6</v>
      </c>
      <c r="B211" s="41" t="s">
        <v>208</v>
      </c>
      <c r="C211" s="42" t="s">
        <v>198</v>
      </c>
      <c r="D211" s="43">
        <v>9</v>
      </c>
      <c r="E211" s="73"/>
      <c r="F211" s="73"/>
      <c r="G211" s="73">
        <f>906/3</f>
        <v>302</v>
      </c>
      <c r="H211" s="73">
        <f t="shared" si="12"/>
        <v>2718</v>
      </c>
      <c r="I211" s="82">
        <f t="shared" si="13"/>
        <v>2718</v>
      </c>
    </row>
    <row r="212" spans="1:9" ht="25.5" x14ac:dyDescent="0.25">
      <c r="A212" s="118">
        <v>7</v>
      </c>
      <c r="B212" s="41" t="s">
        <v>278</v>
      </c>
      <c r="C212" s="42" t="s">
        <v>44</v>
      </c>
      <c r="D212" s="43">
        <v>9</v>
      </c>
      <c r="E212" s="73"/>
      <c r="F212" s="73"/>
      <c r="G212" s="73">
        <v>160</v>
      </c>
      <c r="H212" s="73">
        <f t="shared" si="12"/>
        <v>1440</v>
      </c>
      <c r="I212" s="82">
        <f>H212</f>
        <v>1440</v>
      </c>
    </row>
    <row r="213" spans="1:9" ht="15" customHeight="1" x14ac:dyDescent="0.25">
      <c r="A213" s="118">
        <v>8</v>
      </c>
      <c r="B213" s="45" t="s">
        <v>209</v>
      </c>
      <c r="C213" s="48" t="s">
        <v>44</v>
      </c>
      <c r="D213" s="46">
        <v>4</v>
      </c>
      <c r="E213" s="89">
        <v>800</v>
      </c>
      <c r="F213" s="89">
        <f>D213*E213</f>
        <v>3200</v>
      </c>
      <c r="G213" s="89"/>
      <c r="H213" s="89"/>
      <c r="I213" s="90">
        <f>F213</f>
        <v>3200</v>
      </c>
    </row>
    <row r="214" spans="1:9" ht="15" customHeight="1" x14ac:dyDescent="0.25">
      <c r="A214" s="118">
        <v>9</v>
      </c>
      <c r="B214" s="41" t="s">
        <v>210</v>
      </c>
      <c r="C214" s="42" t="s">
        <v>44</v>
      </c>
      <c r="D214" s="43">
        <v>2</v>
      </c>
      <c r="E214" s="73"/>
      <c r="F214" s="73"/>
      <c r="G214" s="73">
        <v>230</v>
      </c>
      <c r="H214" s="73">
        <f>D214*G214</f>
        <v>460</v>
      </c>
      <c r="I214" s="82">
        <f t="shared" si="13"/>
        <v>460</v>
      </c>
    </row>
    <row r="215" spans="1:9" ht="15" customHeight="1" x14ac:dyDescent="0.25">
      <c r="A215" s="118">
        <v>10</v>
      </c>
      <c r="B215" s="41" t="s">
        <v>211</v>
      </c>
      <c r="C215" s="42" t="s">
        <v>44</v>
      </c>
      <c r="D215" s="8">
        <v>2</v>
      </c>
      <c r="E215" s="25"/>
      <c r="F215" s="25"/>
      <c r="G215" s="73">
        <v>165</v>
      </c>
      <c r="H215" s="73">
        <f>D215*G215</f>
        <v>330</v>
      </c>
      <c r="I215" s="82">
        <f t="shared" si="13"/>
        <v>330</v>
      </c>
    </row>
    <row r="216" spans="1:9" ht="15" customHeight="1" x14ac:dyDescent="0.25">
      <c r="A216" s="118">
        <v>11</v>
      </c>
      <c r="B216" s="41" t="s">
        <v>212</v>
      </c>
      <c r="C216" s="42" t="s">
        <v>44</v>
      </c>
      <c r="D216" s="43">
        <v>28</v>
      </c>
      <c r="E216" s="73"/>
      <c r="F216" s="73"/>
      <c r="G216" s="73">
        <v>186</v>
      </c>
      <c r="H216" s="73">
        <f>D216*G216</f>
        <v>5208</v>
      </c>
      <c r="I216" s="82">
        <f t="shared" si="13"/>
        <v>5208</v>
      </c>
    </row>
    <row r="217" spans="1:9" ht="15" customHeight="1" x14ac:dyDescent="0.25">
      <c r="A217" s="118">
        <v>12</v>
      </c>
      <c r="B217" s="41" t="s">
        <v>180</v>
      </c>
      <c r="C217" s="42" t="s">
        <v>44</v>
      </c>
      <c r="D217" s="43">
        <v>28</v>
      </c>
      <c r="E217" s="73"/>
      <c r="F217" s="73"/>
      <c r="G217" s="73">
        <v>98</v>
      </c>
      <c r="H217" s="73">
        <f>D217*G217</f>
        <v>2744</v>
      </c>
      <c r="I217" s="82">
        <f t="shared" si="13"/>
        <v>2744</v>
      </c>
    </row>
    <row r="218" spans="1:9" s="9" customFormat="1" ht="15" customHeight="1" x14ac:dyDescent="0.25">
      <c r="A218" s="118">
        <v>13</v>
      </c>
      <c r="B218" s="45" t="s">
        <v>274</v>
      </c>
      <c r="C218" s="48" t="s">
        <v>44</v>
      </c>
      <c r="D218" s="46">
        <v>7</v>
      </c>
      <c r="E218" s="89">
        <v>800</v>
      </c>
      <c r="F218" s="89">
        <f>D218*E218</f>
        <v>5600</v>
      </c>
      <c r="G218" s="89"/>
      <c r="H218" s="89"/>
      <c r="I218" s="90">
        <f>F218</f>
        <v>5600</v>
      </c>
    </row>
    <row r="219" spans="1:9" ht="25.5" x14ac:dyDescent="0.25">
      <c r="A219" s="118">
        <v>14</v>
      </c>
      <c r="B219" s="41" t="s">
        <v>275</v>
      </c>
      <c r="C219" s="42" t="s">
        <v>44</v>
      </c>
      <c r="D219" s="43">
        <v>2</v>
      </c>
      <c r="E219" s="73"/>
      <c r="F219" s="73"/>
      <c r="G219" s="73">
        <v>230</v>
      </c>
      <c r="H219" s="73">
        <f>D219*G219</f>
        <v>460</v>
      </c>
      <c r="I219" s="82">
        <f>H219</f>
        <v>460</v>
      </c>
    </row>
    <row r="220" spans="1:9" ht="25.5" x14ac:dyDescent="0.25">
      <c r="A220" s="118">
        <v>15</v>
      </c>
      <c r="B220" s="41" t="s">
        <v>276</v>
      </c>
      <c r="C220" s="42" t="s">
        <v>44</v>
      </c>
      <c r="D220" s="43">
        <v>5</v>
      </c>
      <c r="E220" s="73"/>
      <c r="F220" s="73"/>
      <c r="G220" s="73">
        <v>275</v>
      </c>
      <c r="H220" s="73">
        <f>D220*G220</f>
        <v>1375</v>
      </c>
      <c r="I220" s="82">
        <f>H220</f>
        <v>1375</v>
      </c>
    </row>
    <row r="221" spans="1:9" ht="15" customHeight="1" x14ac:dyDescent="0.25">
      <c r="A221" s="118">
        <v>16</v>
      </c>
      <c r="B221" s="45" t="s">
        <v>213</v>
      </c>
      <c r="C221" s="48" t="s">
        <v>44</v>
      </c>
      <c r="D221" s="46">
        <v>5</v>
      </c>
      <c r="E221" s="89">
        <v>800</v>
      </c>
      <c r="F221" s="89">
        <f>D221*E221</f>
        <v>4000</v>
      </c>
      <c r="G221" s="89"/>
      <c r="H221" s="89"/>
      <c r="I221" s="90">
        <f>F221</f>
        <v>4000</v>
      </c>
    </row>
    <row r="222" spans="1:9" ht="15" customHeight="1" x14ac:dyDescent="0.25">
      <c r="A222" s="118">
        <v>17</v>
      </c>
      <c r="B222" s="41" t="s">
        <v>214</v>
      </c>
      <c r="C222" s="42" t="s">
        <v>44</v>
      </c>
      <c r="D222" s="8">
        <v>2</v>
      </c>
      <c r="E222" s="25"/>
      <c r="F222" s="25"/>
      <c r="G222" s="73">
        <v>235</v>
      </c>
      <c r="H222" s="73">
        <f>D222*G222</f>
        <v>470</v>
      </c>
      <c r="I222" s="82">
        <f t="shared" si="13"/>
        <v>470</v>
      </c>
    </row>
    <row r="223" spans="1:9" x14ac:dyDescent="0.25">
      <c r="A223" s="118">
        <v>18</v>
      </c>
      <c r="B223" s="41" t="s">
        <v>215</v>
      </c>
      <c r="C223" s="42" t="s">
        <v>44</v>
      </c>
      <c r="D223" s="8">
        <v>1</v>
      </c>
      <c r="E223" s="25"/>
      <c r="F223" s="25"/>
      <c r="G223" s="73">
        <v>198</v>
      </c>
      <c r="H223" s="73">
        <f>D223*G223</f>
        <v>198</v>
      </c>
      <c r="I223" s="82">
        <f t="shared" si="13"/>
        <v>198</v>
      </c>
    </row>
    <row r="224" spans="1:9" x14ac:dyDescent="0.25">
      <c r="A224" s="118">
        <v>19</v>
      </c>
      <c r="B224" s="41" t="s">
        <v>216</v>
      </c>
      <c r="C224" s="42" t="s">
        <v>44</v>
      </c>
      <c r="D224" s="8">
        <v>1</v>
      </c>
      <c r="E224" s="25"/>
      <c r="F224" s="25"/>
      <c r="G224" s="73">
        <v>325</v>
      </c>
      <c r="H224" s="73">
        <f>D224*G224</f>
        <v>325</v>
      </c>
      <c r="I224" s="82">
        <f t="shared" si="13"/>
        <v>325</v>
      </c>
    </row>
    <row r="225" spans="1:9" ht="25.5" x14ac:dyDescent="0.25">
      <c r="A225" s="118">
        <v>20</v>
      </c>
      <c r="B225" s="45" t="s">
        <v>217</v>
      </c>
      <c r="C225" s="48" t="s">
        <v>101</v>
      </c>
      <c r="D225" s="46">
        <v>14</v>
      </c>
      <c r="E225" s="89">
        <v>1400</v>
      </c>
      <c r="F225" s="89">
        <f>D225*E225</f>
        <v>19600</v>
      </c>
      <c r="G225" s="89"/>
      <c r="H225" s="89"/>
      <c r="I225" s="90">
        <f>F225</f>
        <v>19600</v>
      </c>
    </row>
    <row r="226" spans="1:9" x14ac:dyDescent="0.25">
      <c r="A226" s="118">
        <v>21</v>
      </c>
      <c r="B226" s="41" t="s">
        <v>218</v>
      </c>
      <c r="C226" s="42" t="s">
        <v>198</v>
      </c>
      <c r="D226" s="43">
        <v>14</v>
      </c>
      <c r="E226" s="73"/>
      <c r="F226" s="73"/>
      <c r="G226" s="73">
        <v>143</v>
      </c>
      <c r="H226" s="73">
        <f>D226*G226</f>
        <v>2002</v>
      </c>
      <c r="I226" s="82">
        <f t="shared" si="13"/>
        <v>2002</v>
      </c>
    </row>
    <row r="227" spans="1:9" x14ac:dyDescent="0.25">
      <c r="A227" s="118">
        <v>22</v>
      </c>
      <c r="B227" s="41" t="s">
        <v>212</v>
      </c>
      <c r="C227" s="42" t="s">
        <v>44</v>
      </c>
      <c r="D227" s="43">
        <v>14</v>
      </c>
      <c r="E227" s="73"/>
      <c r="F227" s="73"/>
      <c r="G227" s="73">
        <v>186</v>
      </c>
      <c r="H227" s="73">
        <f>D227*G227</f>
        <v>2604</v>
      </c>
      <c r="I227" s="82">
        <f t="shared" si="13"/>
        <v>2604</v>
      </c>
    </row>
    <row r="228" spans="1:9" x14ac:dyDescent="0.25">
      <c r="A228" s="118">
        <v>23</v>
      </c>
      <c r="B228" s="41" t="s">
        <v>180</v>
      </c>
      <c r="C228" s="42" t="s">
        <v>44</v>
      </c>
      <c r="D228" s="43">
        <v>14</v>
      </c>
      <c r="E228" s="73"/>
      <c r="F228" s="73"/>
      <c r="G228" s="73">
        <v>98</v>
      </c>
      <c r="H228" s="73">
        <f>D228*G228</f>
        <v>1372</v>
      </c>
      <c r="I228" s="82">
        <f t="shared" si="13"/>
        <v>1372</v>
      </c>
    </row>
    <row r="229" spans="1:9" x14ac:dyDescent="0.25">
      <c r="A229" s="118">
        <v>24</v>
      </c>
      <c r="B229" s="45" t="s">
        <v>219</v>
      </c>
      <c r="C229" s="48" t="s">
        <v>44</v>
      </c>
      <c r="D229" s="46">
        <v>9</v>
      </c>
      <c r="E229" s="89">
        <v>800</v>
      </c>
      <c r="F229" s="89">
        <f>D229*E229</f>
        <v>7200</v>
      </c>
      <c r="G229" s="89"/>
      <c r="H229" s="89"/>
      <c r="I229" s="90">
        <f>F229</f>
        <v>7200</v>
      </c>
    </row>
    <row r="230" spans="1:9" x14ac:dyDescent="0.25">
      <c r="A230" s="118">
        <v>25</v>
      </c>
      <c r="B230" s="41" t="s">
        <v>220</v>
      </c>
      <c r="C230" s="42" t="s">
        <v>44</v>
      </c>
      <c r="D230" s="43">
        <v>9</v>
      </c>
      <c r="E230" s="73"/>
      <c r="F230" s="73"/>
      <c r="G230" s="73">
        <v>175</v>
      </c>
      <c r="H230" s="73">
        <f>D230*G230</f>
        <v>1575</v>
      </c>
      <c r="I230" s="82">
        <f t="shared" si="13"/>
        <v>1575</v>
      </c>
    </row>
    <row r="231" spans="1:9" x14ac:dyDescent="0.25">
      <c r="A231" s="118">
        <v>26</v>
      </c>
      <c r="B231" s="45" t="s">
        <v>221</v>
      </c>
      <c r="C231" s="48" t="s">
        <v>44</v>
      </c>
      <c r="D231" s="46">
        <v>9</v>
      </c>
      <c r="E231" s="89">
        <v>800</v>
      </c>
      <c r="F231" s="89">
        <f>D231*E231</f>
        <v>7200</v>
      </c>
      <c r="G231" s="89"/>
      <c r="H231" s="89"/>
      <c r="I231" s="90">
        <f>F231</f>
        <v>7200</v>
      </c>
    </row>
    <row r="232" spans="1:9" x14ac:dyDescent="0.25">
      <c r="A232" s="118">
        <v>27</v>
      </c>
      <c r="B232" s="180" t="s">
        <v>222</v>
      </c>
      <c r="C232" s="181" t="s">
        <v>44</v>
      </c>
      <c r="D232" s="182">
        <v>9</v>
      </c>
      <c r="E232" s="183"/>
      <c r="F232" s="183"/>
      <c r="G232" s="183">
        <v>653</v>
      </c>
      <c r="H232" s="183">
        <f>D232*G232</f>
        <v>5877</v>
      </c>
      <c r="I232" s="184">
        <f t="shared" si="13"/>
        <v>5877</v>
      </c>
    </row>
    <row r="233" spans="1:9" x14ac:dyDescent="0.25">
      <c r="A233" s="118">
        <v>28</v>
      </c>
      <c r="B233" s="185" t="s">
        <v>273</v>
      </c>
      <c r="C233" s="186" t="s">
        <v>76</v>
      </c>
      <c r="D233" s="186">
        <v>9</v>
      </c>
      <c r="E233" s="186">
        <v>600</v>
      </c>
      <c r="F233" s="186">
        <f>D233*E233</f>
        <v>5400</v>
      </c>
      <c r="G233" s="186"/>
      <c r="H233" s="186"/>
      <c r="I233" s="187">
        <f>F233+H233</f>
        <v>5400</v>
      </c>
    </row>
    <row r="234" spans="1:9" x14ac:dyDescent="0.25">
      <c r="A234" s="118">
        <v>29</v>
      </c>
      <c r="B234" s="188" t="s">
        <v>223</v>
      </c>
      <c r="C234" s="189" t="s">
        <v>76</v>
      </c>
      <c r="D234" s="189">
        <v>9</v>
      </c>
      <c r="E234" s="189"/>
      <c r="F234" s="189"/>
      <c r="G234" s="189">
        <v>250</v>
      </c>
      <c r="H234" s="190">
        <f>D234*G234</f>
        <v>2250</v>
      </c>
      <c r="I234" s="191">
        <f t="shared" si="13"/>
        <v>2250</v>
      </c>
    </row>
    <row r="235" spans="1:9" x14ac:dyDescent="0.25">
      <c r="A235" s="118">
        <v>30</v>
      </c>
      <c r="B235" s="188" t="s">
        <v>279</v>
      </c>
      <c r="C235" s="189" t="s">
        <v>44</v>
      </c>
      <c r="D235" s="189">
        <v>10</v>
      </c>
      <c r="E235" s="189"/>
      <c r="F235" s="189"/>
      <c r="G235" s="189">
        <v>230</v>
      </c>
      <c r="H235" s="190">
        <f>D235*G235</f>
        <v>2300</v>
      </c>
      <c r="I235" s="191">
        <f>H235</f>
        <v>2300</v>
      </c>
    </row>
    <row r="236" spans="1:9" x14ac:dyDescent="0.25">
      <c r="A236" s="118">
        <v>31</v>
      </c>
      <c r="B236" s="45" t="s">
        <v>224</v>
      </c>
      <c r="C236" s="48" t="s">
        <v>44</v>
      </c>
      <c r="D236" s="46">
        <v>0</v>
      </c>
      <c r="E236" s="89">
        <v>1300</v>
      </c>
      <c r="F236" s="186">
        <f>D236*E236</f>
        <v>0</v>
      </c>
      <c r="G236" s="186"/>
      <c r="H236" s="186"/>
      <c r="I236" s="187">
        <f>F236+H236</f>
        <v>0</v>
      </c>
    </row>
    <row r="237" spans="1:9" ht="38.25" x14ac:dyDescent="0.25">
      <c r="A237" s="118">
        <v>32</v>
      </c>
      <c r="B237" s="45" t="s">
        <v>225</v>
      </c>
      <c r="C237" s="48" t="s">
        <v>137</v>
      </c>
      <c r="D237" s="46">
        <v>0</v>
      </c>
      <c r="E237" s="89">
        <v>0</v>
      </c>
      <c r="F237" s="89">
        <f>D237*E237</f>
        <v>0</v>
      </c>
      <c r="G237" s="89"/>
      <c r="H237" s="89"/>
      <c r="I237" s="90">
        <f>F237</f>
        <v>0</v>
      </c>
    </row>
    <row r="238" spans="1:9" x14ac:dyDescent="0.25">
      <c r="A238" s="118">
        <v>33</v>
      </c>
      <c r="B238" s="41" t="s">
        <v>226</v>
      </c>
      <c r="C238" s="42"/>
      <c r="D238" s="43"/>
      <c r="E238" s="73"/>
      <c r="F238" s="73"/>
      <c r="G238" s="73"/>
      <c r="H238" s="73"/>
      <c r="I238" s="82"/>
    </row>
    <row r="239" spans="1:9" x14ac:dyDescent="0.25">
      <c r="A239" s="118">
        <v>34</v>
      </c>
      <c r="B239" s="71" t="s">
        <v>65</v>
      </c>
      <c r="C239" s="6"/>
      <c r="D239" s="8"/>
      <c r="E239" s="25"/>
      <c r="F239" s="25"/>
      <c r="G239" s="25"/>
      <c r="H239" s="25"/>
      <c r="I239" s="88"/>
    </row>
    <row r="240" spans="1:9" x14ac:dyDescent="0.2">
      <c r="A240" s="118">
        <v>35</v>
      </c>
      <c r="B240" s="50" t="s">
        <v>7</v>
      </c>
      <c r="C240" s="10" t="s">
        <v>4</v>
      </c>
      <c r="D240" s="8">
        <v>0.1</v>
      </c>
      <c r="E240" s="34">
        <v>4000</v>
      </c>
      <c r="F240" s="34">
        <f>D240*E240</f>
        <v>400</v>
      </c>
      <c r="G240" s="34"/>
      <c r="H240" s="34"/>
      <c r="I240" s="172">
        <f>F240</f>
        <v>400</v>
      </c>
    </row>
    <row r="241" spans="1:9" x14ac:dyDescent="0.2">
      <c r="A241" s="118">
        <v>36</v>
      </c>
      <c r="B241" s="51" t="s">
        <v>12</v>
      </c>
      <c r="C241" s="23" t="s">
        <v>11</v>
      </c>
      <c r="D241" s="24">
        <v>0.5</v>
      </c>
      <c r="E241" s="35">
        <v>1500</v>
      </c>
      <c r="F241" s="35">
        <f>D241*E241</f>
        <v>750</v>
      </c>
      <c r="G241" s="35"/>
      <c r="H241" s="35"/>
      <c r="I241" s="173">
        <f>F241</f>
        <v>750</v>
      </c>
    </row>
    <row r="242" spans="1:9" x14ac:dyDescent="0.2">
      <c r="A242" s="118">
        <v>37</v>
      </c>
      <c r="B242" s="52" t="s">
        <v>5</v>
      </c>
      <c r="C242" s="27" t="s">
        <v>6</v>
      </c>
      <c r="D242" s="25">
        <v>0</v>
      </c>
      <c r="E242" s="25">
        <v>800</v>
      </c>
      <c r="F242" s="25">
        <f>E242*D242</f>
        <v>0</v>
      </c>
      <c r="G242" s="25"/>
      <c r="H242" s="25"/>
      <c r="I242" s="174">
        <f>D242*E242</f>
        <v>0</v>
      </c>
    </row>
    <row r="243" spans="1:9" x14ac:dyDescent="0.25">
      <c r="A243" s="118">
        <v>38</v>
      </c>
      <c r="B243" s="45" t="s">
        <v>36</v>
      </c>
      <c r="C243" s="42"/>
      <c r="D243" s="43">
        <v>1.25</v>
      </c>
      <c r="E243" s="73"/>
      <c r="F243" s="73"/>
      <c r="G243" s="73"/>
      <c r="H243" s="73"/>
      <c r="I243" s="82"/>
    </row>
    <row r="244" spans="1:9" x14ac:dyDescent="0.25">
      <c r="A244" s="118">
        <v>39</v>
      </c>
      <c r="B244" s="45" t="s">
        <v>33</v>
      </c>
      <c r="C244" s="42"/>
      <c r="D244" s="43"/>
      <c r="E244" s="94"/>
      <c r="F244" s="95">
        <f>SUM(F178:F243)</f>
        <v>94750</v>
      </c>
      <c r="G244" s="95"/>
      <c r="H244" s="95">
        <f>SUM(H178:H243)</f>
        <v>38906</v>
      </c>
      <c r="I244" s="96">
        <f>F244+H244</f>
        <v>133656</v>
      </c>
    </row>
    <row r="245" spans="1:9" x14ac:dyDescent="0.25">
      <c r="A245" s="118">
        <v>40</v>
      </c>
      <c r="B245" s="45" t="s">
        <v>227</v>
      </c>
      <c r="C245" s="48" t="s">
        <v>34</v>
      </c>
      <c r="D245" s="46">
        <v>5</v>
      </c>
      <c r="E245" s="95"/>
      <c r="F245" s="95">
        <f>D245/100*F244</f>
        <v>4737.5</v>
      </c>
      <c r="G245" s="95"/>
      <c r="H245" s="95"/>
      <c r="I245" s="96"/>
    </row>
    <row r="246" spans="1:9" ht="25.5" x14ac:dyDescent="0.25">
      <c r="A246" s="118">
        <v>41</v>
      </c>
      <c r="B246" s="45" t="s">
        <v>75</v>
      </c>
      <c r="C246" s="48" t="s">
        <v>34</v>
      </c>
      <c r="D246" s="46">
        <v>5</v>
      </c>
      <c r="E246" s="95"/>
      <c r="F246" s="95"/>
      <c r="G246" s="95"/>
      <c r="H246" s="95">
        <f>D246/100*H244</f>
        <v>1945.3000000000002</v>
      </c>
      <c r="I246" s="96"/>
    </row>
    <row r="247" spans="1:9" ht="25.5" x14ac:dyDescent="0.25">
      <c r="A247" s="118">
        <v>42</v>
      </c>
      <c r="B247" s="45" t="s">
        <v>67</v>
      </c>
      <c r="C247" s="48" t="s">
        <v>34</v>
      </c>
      <c r="D247" s="46">
        <v>10</v>
      </c>
      <c r="E247" s="95"/>
      <c r="F247" s="95">
        <f>F244/100*D247</f>
        <v>9475</v>
      </c>
      <c r="G247" s="95"/>
      <c r="H247" s="95">
        <f>H244/100*D247</f>
        <v>3890.6</v>
      </c>
      <c r="I247" s="96"/>
    </row>
    <row r="248" spans="1:9" x14ac:dyDescent="0.25">
      <c r="A248" s="118">
        <v>43</v>
      </c>
      <c r="B248" s="45" t="s">
        <v>35</v>
      </c>
      <c r="C248" s="97"/>
      <c r="D248" s="97"/>
      <c r="E248" s="95"/>
      <c r="F248" s="95">
        <f>SUM(F244:F247)</f>
        <v>108962.5</v>
      </c>
      <c r="G248" s="95"/>
      <c r="H248" s="95">
        <f>SUM(H244:H247)</f>
        <v>44741.9</v>
      </c>
      <c r="I248" s="96">
        <f>F248+H248</f>
        <v>153704.4</v>
      </c>
    </row>
    <row r="249" spans="1:9" x14ac:dyDescent="0.25">
      <c r="A249" s="118">
        <v>44</v>
      </c>
      <c r="B249" s="192" t="s">
        <v>230</v>
      </c>
      <c r="C249" s="64" t="s">
        <v>34</v>
      </c>
      <c r="D249" s="64">
        <v>15</v>
      </c>
      <c r="E249" s="65"/>
      <c r="F249" s="65"/>
      <c r="G249" s="65"/>
      <c r="H249" s="65"/>
      <c r="I249" s="66">
        <f>I248*0.85</f>
        <v>130648.73999999999</v>
      </c>
    </row>
    <row r="250" spans="1:9" x14ac:dyDescent="0.2">
      <c r="A250" s="54"/>
      <c r="B250" s="28" t="s">
        <v>228</v>
      </c>
      <c r="C250" s="13"/>
      <c r="D250" s="14"/>
      <c r="E250" s="179"/>
      <c r="F250" s="179"/>
      <c r="G250" s="179"/>
      <c r="H250" s="179" t="s">
        <v>231</v>
      </c>
      <c r="I250" s="193">
        <f>I249</f>
        <v>130648.73999999999</v>
      </c>
    </row>
    <row r="251" spans="1:9" x14ac:dyDescent="0.2">
      <c r="A251" s="54"/>
      <c r="B251" s="276" t="s">
        <v>229</v>
      </c>
      <c r="C251" s="276"/>
      <c r="D251" s="276"/>
      <c r="E251" s="276"/>
      <c r="F251" s="276"/>
      <c r="G251" s="276"/>
      <c r="H251" s="276"/>
      <c r="I251" s="276"/>
    </row>
    <row r="252" spans="1:9" x14ac:dyDescent="0.2">
      <c r="A252" s="53"/>
      <c r="B252" s="29"/>
      <c r="C252" s="15"/>
      <c r="D252" s="16"/>
      <c r="E252" s="37"/>
      <c r="F252" s="37"/>
      <c r="G252" s="37"/>
      <c r="H252" s="37"/>
      <c r="I252" s="175"/>
    </row>
    <row r="253" spans="1:9" ht="15" x14ac:dyDescent="0.25">
      <c r="A253" s="53"/>
      <c r="B253" s="30" t="s">
        <v>8</v>
      </c>
      <c r="C253" s="18"/>
      <c r="D253" s="56" t="s">
        <v>9</v>
      </c>
      <c r="E253"/>
      <c r="F253"/>
      <c r="G253"/>
      <c r="H253"/>
      <c r="I253" s="176"/>
    </row>
    <row r="254" spans="1:9" ht="13.5" thickBot="1" x14ac:dyDescent="0.25">
      <c r="A254" s="53"/>
      <c r="B254" s="31"/>
      <c r="C254" s="18"/>
      <c r="D254" s="20"/>
      <c r="E254" s="38"/>
      <c r="F254" s="38"/>
      <c r="G254" s="38"/>
      <c r="H254" s="38"/>
      <c r="I254" s="177"/>
    </row>
    <row r="255" spans="1:9" x14ac:dyDescent="0.2">
      <c r="A255" s="53"/>
      <c r="B255" s="210"/>
      <c r="C255" s="18"/>
      <c r="D255" s="14"/>
      <c r="E255" s="211"/>
      <c r="F255" s="211"/>
      <c r="G255" s="211"/>
      <c r="H255" s="211"/>
      <c r="I255" s="212"/>
    </row>
    <row r="256" spans="1:9" x14ac:dyDescent="0.2">
      <c r="A256" s="53"/>
      <c r="B256" s="210"/>
      <c r="C256" s="18"/>
      <c r="D256" s="14"/>
      <c r="E256" s="211"/>
      <c r="F256" s="211"/>
      <c r="G256" s="211"/>
      <c r="H256" s="211"/>
      <c r="I256" s="212"/>
    </row>
    <row r="257" spans="1:9" x14ac:dyDescent="0.2">
      <c r="A257" s="53"/>
      <c r="B257" s="210"/>
      <c r="C257" s="18"/>
      <c r="D257" s="14"/>
      <c r="E257" s="211"/>
      <c r="F257" s="211"/>
      <c r="G257" s="211"/>
      <c r="H257" s="211"/>
      <c r="I257" s="212"/>
    </row>
    <row r="258" spans="1:9" x14ac:dyDescent="0.2">
      <c r="A258" s="53"/>
      <c r="B258" s="210"/>
      <c r="C258" s="18"/>
      <c r="D258" s="14"/>
      <c r="E258" s="211"/>
      <c r="F258" s="211"/>
      <c r="G258" s="211"/>
      <c r="H258" s="211"/>
      <c r="I258" s="212"/>
    </row>
    <row r="259" spans="1:9" x14ac:dyDescent="0.2">
      <c r="A259" s="53"/>
      <c r="B259" s="210"/>
      <c r="C259" s="18"/>
      <c r="D259" s="14"/>
      <c r="E259" s="211"/>
      <c r="F259" s="211"/>
      <c r="G259" s="211"/>
      <c r="H259" s="211" t="s">
        <v>327</v>
      </c>
      <c r="I259" s="212"/>
    </row>
    <row r="260" spans="1:9" ht="90" customHeight="1" x14ac:dyDescent="0.25">
      <c r="B260" s="274"/>
      <c r="C260" s="274"/>
      <c r="D260" s="274"/>
    </row>
    <row r="261" spans="1:9" ht="26.25" customHeight="1" x14ac:dyDescent="0.25">
      <c r="A261" s="164"/>
      <c r="B261" s="275" t="s">
        <v>171</v>
      </c>
      <c r="C261" s="275"/>
      <c r="D261" s="275"/>
    </row>
    <row r="262" spans="1:9" ht="15" x14ac:dyDescent="0.25">
      <c r="A262" s="164"/>
      <c r="B262" s="200"/>
      <c r="C262" s="200"/>
      <c r="D262" s="200"/>
    </row>
    <row r="263" spans="1:9" x14ac:dyDescent="0.25">
      <c r="B263" s="60" t="s">
        <v>39</v>
      </c>
      <c r="G263" s="61" t="s">
        <v>40</v>
      </c>
    </row>
    <row r="264" spans="1:9" x14ac:dyDescent="0.25">
      <c r="B264" s="57"/>
      <c r="G264" s="58"/>
      <c r="H264" s="58"/>
      <c r="I264" s="59"/>
    </row>
    <row r="265" spans="1:9" x14ac:dyDescent="0.25">
      <c r="B265" s="68"/>
      <c r="G265" s="69"/>
      <c r="H265" s="69"/>
      <c r="I265" s="70"/>
    </row>
    <row r="266" spans="1:9" x14ac:dyDescent="0.2">
      <c r="A266" s="53"/>
      <c r="B266" s="210"/>
      <c r="C266" s="18"/>
      <c r="D266" s="14"/>
      <c r="E266" s="211"/>
      <c r="F266" s="211"/>
      <c r="G266" s="211"/>
      <c r="H266" s="211"/>
      <c r="I266" s="212"/>
    </row>
    <row r="267" spans="1:9" ht="20.25" x14ac:dyDescent="0.25">
      <c r="A267" s="273" t="s">
        <v>38</v>
      </c>
      <c r="B267" s="273"/>
      <c r="C267" s="273"/>
      <c r="D267" s="273"/>
      <c r="E267" s="273"/>
      <c r="F267" s="273"/>
      <c r="G267" s="273"/>
      <c r="H267" s="273"/>
      <c r="I267" s="273"/>
    </row>
    <row r="268" spans="1:9" ht="15.75" x14ac:dyDescent="0.25">
      <c r="A268" s="272" t="s">
        <v>232</v>
      </c>
      <c r="B268" s="272"/>
      <c r="C268" s="272"/>
      <c r="D268" s="272"/>
      <c r="E268" s="272"/>
      <c r="F268" s="272"/>
      <c r="G268" s="272"/>
      <c r="H268" s="272"/>
      <c r="I268" s="272"/>
    </row>
    <row r="269" spans="1:9" x14ac:dyDescent="0.2">
      <c r="A269" s="220" t="s">
        <v>325</v>
      </c>
      <c r="B269" s="220"/>
      <c r="C269" s="220"/>
      <c r="D269" s="220"/>
      <c r="E269" s="220"/>
      <c r="F269" s="220"/>
      <c r="G269" s="221">
        <f>I328</f>
        <v>35660.423600000002</v>
      </c>
      <c r="H269" s="222" t="s">
        <v>326</v>
      </c>
      <c r="I269" s="223"/>
    </row>
    <row r="270" spans="1:9" ht="60" x14ac:dyDescent="0.25">
      <c r="A270" s="83" t="s">
        <v>0</v>
      </c>
      <c r="B270" s="84" t="s">
        <v>1</v>
      </c>
      <c r="C270" s="85" t="s">
        <v>10</v>
      </c>
      <c r="D270" s="85" t="s">
        <v>2</v>
      </c>
      <c r="E270" s="84" t="s">
        <v>13</v>
      </c>
      <c r="F270" s="84" t="s">
        <v>14</v>
      </c>
      <c r="G270" s="84" t="s">
        <v>15</v>
      </c>
      <c r="H270" s="84" t="s">
        <v>16</v>
      </c>
      <c r="I270" s="86" t="s">
        <v>17</v>
      </c>
    </row>
    <row r="271" spans="1:9" ht="15" x14ac:dyDescent="0.25">
      <c r="A271" s="127">
        <v>1</v>
      </c>
      <c r="B271" s="87" t="s">
        <v>233</v>
      </c>
      <c r="C271" s="127"/>
      <c r="D271" s="127"/>
      <c r="E271" s="128"/>
      <c r="F271" s="128"/>
      <c r="G271" s="127"/>
      <c r="H271" s="127"/>
      <c r="I271" s="194"/>
    </row>
    <row r="272" spans="1:9" x14ac:dyDescent="0.25">
      <c r="A272" s="118">
        <v>2</v>
      </c>
      <c r="B272" s="45" t="s">
        <v>234</v>
      </c>
      <c r="C272" s="48" t="s">
        <v>101</v>
      </c>
      <c r="D272" s="46">
        <v>5</v>
      </c>
      <c r="E272" s="89">
        <v>400</v>
      </c>
      <c r="F272" s="89">
        <f>D272*E272</f>
        <v>2000</v>
      </c>
      <c r="G272" s="89"/>
      <c r="H272" s="89"/>
      <c r="I272" s="90">
        <f>F272</f>
        <v>2000</v>
      </c>
    </row>
    <row r="273" spans="1:9" ht="25.5" x14ac:dyDescent="0.25">
      <c r="A273" s="118">
        <v>3</v>
      </c>
      <c r="B273" s="41" t="s">
        <v>191</v>
      </c>
      <c r="C273" s="42" t="s">
        <v>101</v>
      </c>
      <c r="D273" s="73">
        <v>5</v>
      </c>
      <c r="E273" s="73"/>
      <c r="F273" s="73"/>
      <c r="G273" s="73">
        <f>170/2</f>
        <v>85</v>
      </c>
      <c r="H273" s="73">
        <f t="shared" ref="H273:H280" si="14">D273*G273</f>
        <v>425</v>
      </c>
      <c r="I273" s="82">
        <f t="shared" ref="I273:I279" si="15">H273</f>
        <v>425</v>
      </c>
    </row>
    <row r="274" spans="1:9" x14ac:dyDescent="0.25">
      <c r="A274" s="118">
        <v>4</v>
      </c>
      <c r="B274" s="41" t="s">
        <v>235</v>
      </c>
      <c r="C274" s="42" t="s">
        <v>44</v>
      </c>
      <c r="D274" s="73">
        <v>5</v>
      </c>
      <c r="E274" s="73"/>
      <c r="F274" s="73"/>
      <c r="G274" s="73">
        <v>65</v>
      </c>
      <c r="H274" s="73">
        <f t="shared" si="14"/>
        <v>325</v>
      </c>
      <c r="I274" s="82">
        <f t="shared" si="15"/>
        <v>325</v>
      </c>
    </row>
    <row r="275" spans="1:9" x14ac:dyDescent="0.25">
      <c r="A275" s="118">
        <v>5</v>
      </c>
      <c r="B275" s="41" t="s">
        <v>236</v>
      </c>
      <c r="C275" s="42" t="s">
        <v>44</v>
      </c>
      <c r="D275" s="43">
        <v>8</v>
      </c>
      <c r="E275" s="73"/>
      <c r="F275" s="73"/>
      <c r="G275" s="73">
        <v>45</v>
      </c>
      <c r="H275" s="73">
        <f t="shared" si="14"/>
        <v>360</v>
      </c>
      <c r="I275" s="82">
        <f t="shared" si="15"/>
        <v>360</v>
      </c>
    </row>
    <row r="276" spans="1:9" x14ac:dyDescent="0.25">
      <c r="A276" s="127">
        <v>6</v>
      </c>
      <c r="B276" s="41" t="s">
        <v>237</v>
      </c>
      <c r="C276" s="42" t="s">
        <v>44</v>
      </c>
      <c r="D276" s="43">
        <v>6</v>
      </c>
      <c r="E276" s="73"/>
      <c r="F276" s="73"/>
      <c r="G276" s="73">
        <v>38</v>
      </c>
      <c r="H276" s="73">
        <f t="shared" si="14"/>
        <v>228</v>
      </c>
      <c r="I276" s="82">
        <f t="shared" si="15"/>
        <v>228</v>
      </c>
    </row>
    <row r="277" spans="1:9" x14ac:dyDescent="0.25">
      <c r="A277" s="118">
        <v>7</v>
      </c>
      <c r="B277" s="41" t="s">
        <v>238</v>
      </c>
      <c r="C277" s="42" t="s">
        <v>44</v>
      </c>
      <c r="D277" s="43">
        <v>4</v>
      </c>
      <c r="E277" s="73"/>
      <c r="F277" s="73"/>
      <c r="G277" s="73">
        <v>72</v>
      </c>
      <c r="H277" s="73">
        <f t="shared" si="14"/>
        <v>288</v>
      </c>
      <c r="I277" s="82">
        <f t="shared" si="15"/>
        <v>288</v>
      </c>
    </row>
    <row r="278" spans="1:9" x14ac:dyDescent="0.25">
      <c r="A278" s="118">
        <v>8</v>
      </c>
      <c r="B278" s="41" t="s">
        <v>239</v>
      </c>
      <c r="C278" s="42" t="s">
        <v>101</v>
      </c>
      <c r="D278" s="43">
        <v>5</v>
      </c>
      <c r="E278" s="73"/>
      <c r="F278" s="73"/>
      <c r="G278" s="73">
        <v>58</v>
      </c>
      <c r="H278" s="73">
        <f t="shared" si="14"/>
        <v>290</v>
      </c>
      <c r="I278" s="82">
        <f t="shared" si="15"/>
        <v>290</v>
      </c>
    </row>
    <row r="279" spans="1:9" x14ac:dyDescent="0.25">
      <c r="A279" s="118">
        <v>9</v>
      </c>
      <c r="B279" s="41" t="s">
        <v>240</v>
      </c>
      <c r="C279" s="42" t="s">
        <v>44</v>
      </c>
      <c r="D279" s="43">
        <v>15</v>
      </c>
      <c r="E279" s="73"/>
      <c r="F279" s="73"/>
      <c r="G279" s="73">
        <v>5</v>
      </c>
      <c r="H279" s="73">
        <f t="shared" si="14"/>
        <v>75</v>
      </c>
      <c r="I279" s="82">
        <f t="shared" si="15"/>
        <v>75</v>
      </c>
    </row>
    <row r="280" spans="1:9" x14ac:dyDescent="0.25">
      <c r="A280" s="118">
        <v>10</v>
      </c>
      <c r="B280" s="41" t="s">
        <v>46</v>
      </c>
      <c r="C280" s="42" t="s">
        <v>3</v>
      </c>
      <c r="D280" s="43">
        <v>4</v>
      </c>
      <c r="E280" s="73"/>
      <c r="F280" s="73"/>
      <c r="G280" s="73">
        <v>4.03</v>
      </c>
      <c r="H280" s="73">
        <f t="shared" si="14"/>
        <v>16.12</v>
      </c>
      <c r="I280" s="82">
        <f>H280</f>
        <v>16.12</v>
      </c>
    </row>
    <row r="281" spans="1:9" x14ac:dyDescent="0.25">
      <c r="A281" s="127">
        <v>11</v>
      </c>
      <c r="B281" s="45" t="s">
        <v>241</v>
      </c>
      <c r="C281" s="48" t="s">
        <v>44</v>
      </c>
      <c r="D281" s="46">
        <v>8</v>
      </c>
      <c r="E281" s="89">
        <v>450</v>
      </c>
      <c r="F281" s="89">
        <f>D281*E281</f>
        <v>3600</v>
      </c>
      <c r="G281" s="89"/>
      <c r="H281" s="89"/>
      <c r="I281" s="90">
        <f>F281</f>
        <v>3600</v>
      </c>
    </row>
    <row r="282" spans="1:9" x14ac:dyDescent="0.25">
      <c r="A282" s="118">
        <v>12</v>
      </c>
      <c r="B282" s="41" t="s">
        <v>242</v>
      </c>
      <c r="C282" s="42" t="s">
        <v>44</v>
      </c>
      <c r="D282" s="43">
        <v>8</v>
      </c>
      <c r="E282" s="73"/>
      <c r="F282" s="73"/>
      <c r="G282" s="73">
        <v>326</v>
      </c>
      <c r="H282" s="73">
        <f>D282*G282</f>
        <v>2608</v>
      </c>
      <c r="I282" s="82">
        <f>H282</f>
        <v>2608</v>
      </c>
    </row>
    <row r="283" spans="1:9" x14ac:dyDescent="0.25">
      <c r="A283" s="118">
        <v>13</v>
      </c>
      <c r="B283" s="41" t="s">
        <v>243</v>
      </c>
      <c r="C283" s="42" t="s">
        <v>44</v>
      </c>
      <c r="D283" s="43">
        <v>6</v>
      </c>
      <c r="E283" s="73"/>
      <c r="F283" s="73"/>
      <c r="G283" s="73">
        <v>165</v>
      </c>
      <c r="H283" s="73">
        <f>D283*G283</f>
        <v>990</v>
      </c>
      <c r="I283" s="82">
        <f>H283</f>
        <v>990</v>
      </c>
    </row>
    <row r="284" spans="1:9" x14ac:dyDescent="0.25">
      <c r="A284" s="118">
        <v>14</v>
      </c>
      <c r="B284" s="45" t="s">
        <v>244</v>
      </c>
      <c r="C284" s="48" t="s">
        <v>44</v>
      </c>
      <c r="D284" s="46">
        <v>2</v>
      </c>
      <c r="E284" s="89">
        <v>1500</v>
      </c>
      <c r="F284" s="89">
        <f>D284*E284</f>
        <v>3000</v>
      </c>
      <c r="G284" s="89"/>
      <c r="H284" s="89"/>
      <c r="I284" s="90">
        <f>F284</f>
        <v>3000</v>
      </c>
    </row>
    <row r="285" spans="1:9" x14ac:dyDescent="0.25">
      <c r="A285" s="118">
        <v>15</v>
      </c>
      <c r="B285" s="41" t="s">
        <v>245</v>
      </c>
      <c r="C285" s="42" t="s">
        <v>44</v>
      </c>
      <c r="D285" s="73">
        <v>1</v>
      </c>
      <c r="E285" s="73"/>
      <c r="F285" s="73"/>
      <c r="G285" s="73">
        <v>1002</v>
      </c>
      <c r="H285" s="73">
        <f>D285*G285</f>
        <v>1002</v>
      </c>
      <c r="I285" s="82">
        <f t="shared" ref="I285:I315" si="16">H285</f>
        <v>1002</v>
      </c>
    </row>
    <row r="286" spans="1:9" x14ac:dyDescent="0.25">
      <c r="A286" s="127">
        <v>16</v>
      </c>
      <c r="B286" s="41" t="s">
        <v>246</v>
      </c>
      <c r="C286" s="42" t="s">
        <v>44</v>
      </c>
      <c r="D286" s="73">
        <v>1</v>
      </c>
      <c r="E286" s="73"/>
      <c r="F286" s="73"/>
      <c r="G286" s="73">
        <v>1002</v>
      </c>
      <c r="H286" s="73">
        <f>D286*G286</f>
        <v>1002</v>
      </c>
      <c r="I286" s="82">
        <f t="shared" si="16"/>
        <v>1002</v>
      </c>
    </row>
    <row r="287" spans="1:9" x14ac:dyDescent="0.25">
      <c r="A287" s="118">
        <v>17</v>
      </c>
      <c r="B287" s="41" t="s">
        <v>247</v>
      </c>
      <c r="C287" s="42" t="s">
        <v>44</v>
      </c>
      <c r="D287" s="73">
        <v>2</v>
      </c>
      <c r="E287" s="73"/>
      <c r="F287" s="73"/>
      <c r="G287" s="73">
        <v>212</v>
      </c>
      <c r="H287" s="73">
        <f>D287*G287</f>
        <v>424</v>
      </c>
      <c r="I287" s="82">
        <f t="shared" si="16"/>
        <v>424</v>
      </c>
    </row>
    <row r="288" spans="1:9" x14ac:dyDescent="0.25">
      <c r="A288" s="118">
        <v>18</v>
      </c>
      <c r="B288" s="41" t="s">
        <v>248</v>
      </c>
      <c r="C288" s="42" t="s">
        <v>44</v>
      </c>
      <c r="D288" s="43">
        <v>4</v>
      </c>
      <c r="E288" s="73"/>
      <c r="F288" s="73"/>
      <c r="G288" s="73">
        <v>165</v>
      </c>
      <c r="H288" s="73">
        <f>D288*G288</f>
        <v>660</v>
      </c>
      <c r="I288" s="82">
        <f t="shared" si="16"/>
        <v>660</v>
      </c>
    </row>
    <row r="289" spans="1:9" x14ac:dyDescent="0.25">
      <c r="A289" s="118">
        <v>19</v>
      </c>
      <c r="B289" s="41" t="s">
        <v>249</v>
      </c>
      <c r="C289" s="42" t="s">
        <v>44</v>
      </c>
      <c r="D289" s="43">
        <v>2</v>
      </c>
      <c r="E289" s="73"/>
      <c r="F289" s="73"/>
      <c r="G289" s="73">
        <v>135</v>
      </c>
      <c r="H289" s="73">
        <f>D289*G289</f>
        <v>270</v>
      </c>
      <c r="I289" s="82">
        <f t="shared" si="16"/>
        <v>270</v>
      </c>
    </row>
    <row r="290" spans="1:9" x14ac:dyDescent="0.25">
      <c r="A290" s="118">
        <v>20</v>
      </c>
      <c r="B290" s="45" t="s">
        <v>250</v>
      </c>
      <c r="C290" s="138" t="s">
        <v>44</v>
      </c>
      <c r="D290" s="46">
        <v>2</v>
      </c>
      <c r="E290" s="89">
        <v>450</v>
      </c>
      <c r="F290" s="89">
        <f>D290*E290</f>
        <v>900</v>
      </c>
      <c r="G290" s="89"/>
      <c r="H290" s="89"/>
      <c r="I290" s="90">
        <f>F290</f>
        <v>900</v>
      </c>
    </row>
    <row r="291" spans="1:9" x14ac:dyDescent="0.25">
      <c r="A291" s="127">
        <v>21</v>
      </c>
      <c r="B291" s="41" t="s">
        <v>251</v>
      </c>
      <c r="C291" s="42" t="s">
        <v>44</v>
      </c>
      <c r="D291" s="43">
        <v>2</v>
      </c>
      <c r="E291" s="73"/>
      <c r="F291" s="73"/>
      <c r="G291" s="73">
        <v>725</v>
      </c>
      <c r="H291" s="73">
        <f>D291*G291</f>
        <v>1450</v>
      </c>
      <c r="I291" s="82">
        <f t="shared" si="16"/>
        <v>1450</v>
      </c>
    </row>
    <row r="292" spans="1:9" x14ac:dyDescent="0.25">
      <c r="A292" s="118">
        <v>22</v>
      </c>
      <c r="B292" s="45" t="s">
        <v>252</v>
      </c>
      <c r="C292" s="138" t="s">
        <v>44</v>
      </c>
      <c r="D292" s="46">
        <v>0</v>
      </c>
      <c r="E292" s="89">
        <v>450</v>
      </c>
      <c r="F292" s="89">
        <f>D292*E292</f>
        <v>0</v>
      </c>
      <c r="G292" s="89"/>
      <c r="H292" s="89"/>
      <c r="I292" s="90">
        <f>F292</f>
        <v>0</v>
      </c>
    </row>
    <row r="293" spans="1:9" x14ac:dyDescent="0.25">
      <c r="A293" s="118">
        <v>23</v>
      </c>
      <c r="B293" s="41" t="s">
        <v>253</v>
      </c>
      <c r="C293" s="42" t="s">
        <v>44</v>
      </c>
      <c r="D293" s="43">
        <v>0</v>
      </c>
      <c r="E293" s="73"/>
      <c r="F293" s="73"/>
      <c r="G293" s="73">
        <v>2233</v>
      </c>
      <c r="H293" s="73">
        <f>D293*G293</f>
        <v>0</v>
      </c>
      <c r="I293" s="82">
        <f t="shared" si="16"/>
        <v>0</v>
      </c>
    </row>
    <row r="294" spans="1:9" x14ac:dyDescent="0.25">
      <c r="A294" s="118">
        <v>24</v>
      </c>
      <c r="B294" s="45" t="s">
        <v>254</v>
      </c>
      <c r="C294" s="42" t="s">
        <v>44</v>
      </c>
      <c r="D294" s="43">
        <v>0</v>
      </c>
      <c r="E294" s="89">
        <v>450</v>
      </c>
      <c r="F294" s="89">
        <f>D294*E294</f>
        <v>0</v>
      </c>
      <c r="G294" s="89"/>
      <c r="H294" s="89"/>
      <c r="I294" s="90">
        <f>F294</f>
        <v>0</v>
      </c>
    </row>
    <row r="295" spans="1:9" ht="25.5" x14ac:dyDescent="0.25">
      <c r="A295" s="118">
        <v>25</v>
      </c>
      <c r="B295" s="41" t="s">
        <v>255</v>
      </c>
      <c r="C295" s="42" t="s">
        <v>44</v>
      </c>
      <c r="D295" s="43">
        <v>0</v>
      </c>
      <c r="E295" s="73"/>
      <c r="F295" s="73"/>
      <c r="G295" s="73">
        <v>4260</v>
      </c>
      <c r="H295" s="73">
        <f>D295*G295</f>
        <v>0</v>
      </c>
      <c r="I295" s="82">
        <f t="shared" si="16"/>
        <v>0</v>
      </c>
    </row>
    <row r="296" spans="1:9" x14ac:dyDescent="0.25">
      <c r="A296" s="127">
        <v>26</v>
      </c>
      <c r="B296" s="45" t="s">
        <v>256</v>
      </c>
      <c r="C296" s="48" t="s">
        <v>257</v>
      </c>
      <c r="D296" s="46">
        <v>1</v>
      </c>
      <c r="E296" s="89">
        <v>790</v>
      </c>
      <c r="F296" s="89">
        <f>D296*E296</f>
        <v>790</v>
      </c>
      <c r="G296" s="89"/>
      <c r="H296" s="89"/>
      <c r="I296" s="90">
        <f>F296</f>
        <v>790</v>
      </c>
    </row>
    <row r="297" spans="1:9" x14ac:dyDescent="0.25">
      <c r="A297" s="118">
        <v>27</v>
      </c>
      <c r="B297" s="41" t="s">
        <v>272</v>
      </c>
      <c r="C297" s="42" t="s">
        <v>44</v>
      </c>
      <c r="D297" s="43">
        <v>1</v>
      </c>
      <c r="E297" s="73"/>
      <c r="F297" s="73"/>
      <c r="G297" s="73">
        <v>1500</v>
      </c>
      <c r="H297" s="73">
        <f>D297*G297</f>
        <v>1500</v>
      </c>
      <c r="I297" s="82">
        <f t="shared" si="16"/>
        <v>1500</v>
      </c>
    </row>
    <row r="298" spans="1:9" x14ac:dyDescent="0.25">
      <c r="A298" s="118">
        <v>28</v>
      </c>
      <c r="B298" s="45" t="s">
        <v>258</v>
      </c>
      <c r="C298" s="48" t="s">
        <v>44</v>
      </c>
      <c r="D298" s="46">
        <v>1</v>
      </c>
      <c r="E298" s="89">
        <v>1500</v>
      </c>
      <c r="F298" s="89">
        <f>D298*E298</f>
        <v>1500</v>
      </c>
      <c r="G298" s="89"/>
      <c r="H298" s="89"/>
      <c r="I298" s="90">
        <f>F298</f>
        <v>1500</v>
      </c>
    </row>
    <row r="299" spans="1:9" ht="25.5" x14ac:dyDescent="0.25">
      <c r="A299" s="118">
        <v>29</v>
      </c>
      <c r="B299" s="41" t="s">
        <v>259</v>
      </c>
      <c r="C299" s="42" t="s">
        <v>44</v>
      </c>
      <c r="D299" s="43">
        <v>1</v>
      </c>
      <c r="E299" s="73"/>
      <c r="F299" s="73"/>
      <c r="G299" s="73">
        <v>1680</v>
      </c>
      <c r="H299" s="73">
        <f>D299*G299</f>
        <v>1680</v>
      </c>
      <c r="I299" s="82">
        <f>H299</f>
        <v>1680</v>
      </c>
    </row>
    <row r="300" spans="1:9" x14ac:dyDescent="0.25">
      <c r="A300" s="118">
        <v>30</v>
      </c>
      <c r="B300" s="41" t="s">
        <v>260</v>
      </c>
      <c r="C300" s="42" t="s">
        <v>44</v>
      </c>
      <c r="D300" s="43">
        <v>4</v>
      </c>
      <c r="E300" s="73"/>
      <c r="F300" s="73"/>
      <c r="G300" s="73">
        <v>98</v>
      </c>
      <c r="H300" s="73">
        <f>D300*G300</f>
        <v>392</v>
      </c>
      <c r="I300" s="82">
        <f>H300</f>
        <v>392</v>
      </c>
    </row>
    <row r="301" spans="1:9" x14ac:dyDescent="0.25">
      <c r="A301" s="127">
        <v>31</v>
      </c>
      <c r="B301" s="41" t="s">
        <v>261</v>
      </c>
      <c r="C301" s="42" t="s">
        <v>44</v>
      </c>
      <c r="D301" s="43">
        <v>4</v>
      </c>
      <c r="E301" s="73"/>
      <c r="F301" s="73"/>
      <c r="G301" s="73"/>
      <c r="H301" s="73"/>
      <c r="I301" s="82"/>
    </row>
    <row r="302" spans="1:9" x14ac:dyDescent="0.25">
      <c r="A302" s="118">
        <v>32</v>
      </c>
      <c r="B302" s="74" t="s">
        <v>262</v>
      </c>
      <c r="C302" s="42"/>
      <c r="D302" s="43"/>
      <c r="E302" s="73"/>
      <c r="F302" s="73"/>
      <c r="G302" s="73"/>
      <c r="H302" s="73"/>
      <c r="I302" s="82"/>
    </row>
    <row r="303" spans="1:9" x14ac:dyDescent="0.25">
      <c r="A303" s="118">
        <v>33</v>
      </c>
      <c r="B303" s="45" t="s">
        <v>263</v>
      </c>
      <c r="C303" s="48" t="s">
        <v>257</v>
      </c>
      <c r="D303" s="46">
        <v>1</v>
      </c>
      <c r="E303" s="89">
        <v>1200</v>
      </c>
      <c r="F303" s="89">
        <f>D303*E303</f>
        <v>1200</v>
      </c>
      <c r="G303" s="89"/>
      <c r="H303" s="89"/>
      <c r="I303" s="90">
        <f>F303</f>
        <v>1200</v>
      </c>
    </row>
    <row r="304" spans="1:9" ht="25.5" x14ac:dyDescent="0.25">
      <c r="A304" s="118">
        <v>34</v>
      </c>
      <c r="B304" s="41" t="s">
        <v>264</v>
      </c>
      <c r="C304" s="42" t="s">
        <v>44</v>
      </c>
      <c r="D304" s="43">
        <v>1</v>
      </c>
      <c r="E304" s="73"/>
      <c r="F304" s="73"/>
      <c r="G304" s="73">
        <v>590</v>
      </c>
      <c r="H304" s="73">
        <f>D304*G304</f>
        <v>590</v>
      </c>
      <c r="I304" s="82">
        <f t="shared" si="16"/>
        <v>590</v>
      </c>
    </row>
    <row r="305" spans="1:9" x14ac:dyDescent="0.25">
      <c r="A305" s="118">
        <v>35</v>
      </c>
      <c r="B305" s="41" t="s">
        <v>265</v>
      </c>
      <c r="C305" s="42" t="s">
        <v>44</v>
      </c>
      <c r="D305" s="43">
        <v>2</v>
      </c>
      <c r="E305" s="73"/>
      <c r="F305" s="73"/>
      <c r="G305" s="73">
        <v>632</v>
      </c>
      <c r="H305" s="73">
        <f>D305*G305</f>
        <v>1264</v>
      </c>
      <c r="I305" s="82">
        <f t="shared" si="16"/>
        <v>1264</v>
      </c>
    </row>
    <row r="306" spans="1:9" x14ac:dyDescent="0.25">
      <c r="A306" s="127">
        <v>36</v>
      </c>
      <c r="B306" s="45" t="s">
        <v>266</v>
      </c>
      <c r="C306" s="42" t="s">
        <v>44</v>
      </c>
      <c r="D306" s="43">
        <v>0</v>
      </c>
      <c r="E306" s="89">
        <v>0</v>
      </c>
      <c r="F306" s="89">
        <f>D306*E306</f>
        <v>0</v>
      </c>
      <c r="G306" s="89"/>
      <c r="H306" s="89"/>
      <c r="I306" s="90">
        <f>F306</f>
        <v>0</v>
      </c>
    </row>
    <row r="307" spans="1:9" x14ac:dyDescent="0.25">
      <c r="A307" s="118">
        <v>37</v>
      </c>
      <c r="B307" s="41" t="s">
        <v>267</v>
      </c>
      <c r="C307" s="42" t="s">
        <v>44</v>
      </c>
      <c r="D307" s="43">
        <v>0</v>
      </c>
      <c r="E307" s="73"/>
      <c r="F307" s="73"/>
      <c r="G307" s="73">
        <v>0</v>
      </c>
      <c r="H307" s="73">
        <f>D307*G307</f>
        <v>0</v>
      </c>
      <c r="I307" s="82">
        <f t="shared" si="16"/>
        <v>0</v>
      </c>
    </row>
    <row r="308" spans="1:9" x14ac:dyDescent="0.25">
      <c r="A308" s="118">
        <v>38</v>
      </c>
      <c r="B308" s="45" t="s">
        <v>84</v>
      </c>
      <c r="C308" s="48" t="s">
        <v>73</v>
      </c>
      <c r="D308" s="48">
        <v>5.5</v>
      </c>
      <c r="E308" s="48">
        <v>350</v>
      </c>
      <c r="F308" s="89">
        <f>D308*E308</f>
        <v>1925</v>
      </c>
      <c r="G308" s="89"/>
      <c r="H308" s="89"/>
      <c r="I308" s="90">
        <f>F308</f>
        <v>1925</v>
      </c>
    </row>
    <row r="309" spans="1:9" x14ac:dyDescent="0.25">
      <c r="A309" s="118">
        <v>39</v>
      </c>
      <c r="B309" s="75" t="s">
        <v>85</v>
      </c>
      <c r="C309" s="81" t="s">
        <v>3</v>
      </c>
      <c r="D309" s="81">
        <v>5</v>
      </c>
      <c r="E309" s="10"/>
      <c r="F309" s="73"/>
      <c r="G309" s="73">
        <v>50</v>
      </c>
      <c r="H309" s="73">
        <f>D309*G309</f>
        <v>250</v>
      </c>
      <c r="I309" s="82">
        <f t="shared" si="16"/>
        <v>250</v>
      </c>
    </row>
    <row r="310" spans="1:9" x14ac:dyDescent="0.25">
      <c r="A310" s="118">
        <v>40</v>
      </c>
      <c r="B310" s="75" t="s">
        <v>86</v>
      </c>
      <c r="C310" s="81" t="s">
        <v>3</v>
      </c>
      <c r="D310" s="81">
        <v>6</v>
      </c>
      <c r="E310" s="10"/>
      <c r="F310" s="73"/>
      <c r="G310" s="73">
        <v>35</v>
      </c>
      <c r="H310" s="73">
        <f t="shared" ref="H310:H315" si="17">D310*G310</f>
        <v>210</v>
      </c>
      <c r="I310" s="82">
        <f t="shared" si="16"/>
        <v>210</v>
      </c>
    </row>
    <row r="311" spans="1:9" x14ac:dyDescent="0.25">
      <c r="A311" s="127">
        <v>41</v>
      </c>
      <c r="B311" s="75" t="s">
        <v>87</v>
      </c>
      <c r="C311" s="81" t="s">
        <v>3</v>
      </c>
      <c r="D311" s="81">
        <v>5</v>
      </c>
      <c r="E311" s="10"/>
      <c r="F311" s="73"/>
      <c r="G311" s="73">
        <v>28</v>
      </c>
      <c r="H311" s="73">
        <f t="shared" si="17"/>
        <v>140</v>
      </c>
      <c r="I311" s="82">
        <f t="shared" si="16"/>
        <v>140</v>
      </c>
    </row>
    <row r="312" spans="1:9" x14ac:dyDescent="0.25">
      <c r="A312" s="118">
        <v>42</v>
      </c>
      <c r="B312" s="75" t="s">
        <v>88</v>
      </c>
      <c r="C312" s="81" t="s">
        <v>3</v>
      </c>
      <c r="D312" s="76">
        <v>3</v>
      </c>
      <c r="E312" s="10"/>
      <c r="F312" s="73"/>
      <c r="G312" s="73">
        <v>17</v>
      </c>
      <c r="H312" s="73">
        <f t="shared" si="17"/>
        <v>51</v>
      </c>
      <c r="I312" s="82">
        <f t="shared" si="16"/>
        <v>51</v>
      </c>
    </row>
    <row r="313" spans="1:9" x14ac:dyDescent="0.25">
      <c r="A313" s="118">
        <v>43</v>
      </c>
      <c r="B313" s="75" t="s">
        <v>89</v>
      </c>
      <c r="C313" s="81" t="s">
        <v>3</v>
      </c>
      <c r="D313" s="76">
        <v>8</v>
      </c>
      <c r="E313" s="10"/>
      <c r="F313" s="73"/>
      <c r="G313" s="73">
        <v>15</v>
      </c>
      <c r="H313" s="73">
        <f t="shared" si="17"/>
        <v>120</v>
      </c>
      <c r="I313" s="82">
        <f t="shared" si="16"/>
        <v>120</v>
      </c>
    </row>
    <row r="314" spans="1:9" x14ac:dyDescent="0.25">
      <c r="A314" s="118">
        <v>44</v>
      </c>
      <c r="B314" s="75" t="s">
        <v>268</v>
      </c>
      <c r="C314" s="81" t="s">
        <v>3</v>
      </c>
      <c r="D314" s="76">
        <v>4</v>
      </c>
      <c r="E314" s="10"/>
      <c r="F314" s="73"/>
      <c r="G314" s="73">
        <v>29</v>
      </c>
      <c r="H314" s="73">
        <f t="shared" si="17"/>
        <v>116</v>
      </c>
      <c r="I314" s="82">
        <f t="shared" si="16"/>
        <v>116</v>
      </c>
    </row>
    <row r="315" spans="1:9" x14ac:dyDescent="0.25">
      <c r="A315" s="118">
        <v>45</v>
      </c>
      <c r="B315" s="75" t="s">
        <v>92</v>
      </c>
      <c r="C315" s="81" t="s">
        <v>3</v>
      </c>
      <c r="D315" s="76">
        <v>10</v>
      </c>
      <c r="E315" s="10"/>
      <c r="F315" s="73"/>
      <c r="G315" s="73">
        <v>45</v>
      </c>
      <c r="H315" s="73">
        <f t="shared" si="17"/>
        <v>450</v>
      </c>
      <c r="I315" s="82">
        <f t="shared" si="16"/>
        <v>450</v>
      </c>
    </row>
    <row r="316" spans="1:9" x14ac:dyDescent="0.25">
      <c r="A316" s="127">
        <v>46</v>
      </c>
      <c r="B316" s="75"/>
      <c r="C316" s="81"/>
      <c r="D316" s="76"/>
      <c r="E316" s="10"/>
      <c r="F316" s="73"/>
      <c r="G316" s="73"/>
      <c r="H316" s="73"/>
      <c r="I316" s="73"/>
    </row>
    <row r="317" spans="1:9" x14ac:dyDescent="0.25">
      <c r="A317" s="118">
        <v>47</v>
      </c>
      <c r="B317" s="71" t="s">
        <v>65</v>
      </c>
      <c r="C317" s="6"/>
      <c r="D317" s="8"/>
      <c r="E317" s="25"/>
      <c r="F317" s="25"/>
      <c r="G317" s="25"/>
      <c r="H317" s="25"/>
      <c r="I317" s="88"/>
    </row>
    <row r="318" spans="1:9" x14ac:dyDescent="0.2">
      <c r="A318" s="118">
        <v>48</v>
      </c>
      <c r="B318" s="50" t="s">
        <v>7</v>
      </c>
      <c r="C318" s="10" t="s">
        <v>4</v>
      </c>
      <c r="D318" s="8">
        <v>0.1</v>
      </c>
      <c r="E318" s="34">
        <v>4000</v>
      </c>
      <c r="F318" s="34">
        <f>D318*E318</f>
        <v>400</v>
      </c>
      <c r="G318" s="34"/>
      <c r="H318" s="34"/>
      <c r="I318" s="172">
        <f>F318</f>
        <v>400</v>
      </c>
    </row>
    <row r="319" spans="1:9" x14ac:dyDescent="0.2">
      <c r="A319" s="118">
        <v>50</v>
      </c>
      <c r="B319" s="51" t="s">
        <v>12</v>
      </c>
      <c r="C319" s="23" t="s">
        <v>11</v>
      </c>
      <c r="D319" s="24">
        <v>0.1</v>
      </c>
      <c r="E319" s="35">
        <v>1500</v>
      </c>
      <c r="F319" s="35">
        <f>D319*E319</f>
        <v>150</v>
      </c>
      <c r="G319" s="35"/>
      <c r="H319" s="35"/>
      <c r="I319" s="173">
        <f>F319</f>
        <v>150</v>
      </c>
    </row>
    <row r="320" spans="1:9" x14ac:dyDescent="0.2">
      <c r="A320" s="127">
        <v>51</v>
      </c>
      <c r="B320" s="52" t="s">
        <v>5</v>
      </c>
      <c r="C320" s="27" t="s">
        <v>6</v>
      </c>
      <c r="D320" s="25">
        <v>0</v>
      </c>
      <c r="E320" s="25">
        <v>800</v>
      </c>
      <c r="F320" s="25">
        <f>E320*D320</f>
        <v>0</v>
      </c>
      <c r="G320" s="25"/>
      <c r="H320" s="25"/>
      <c r="I320" s="174">
        <f>D320*E320</f>
        <v>0</v>
      </c>
    </row>
    <row r="321" spans="1:9" x14ac:dyDescent="0.25">
      <c r="A321" s="118">
        <v>52</v>
      </c>
      <c r="B321" s="45" t="s">
        <v>36</v>
      </c>
      <c r="C321" s="42"/>
      <c r="D321" s="43">
        <v>1</v>
      </c>
      <c r="E321" s="73"/>
      <c r="F321" s="73"/>
      <c r="G321" s="73"/>
      <c r="H321" s="73"/>
      <c r="I321" s="82"/>
    </row>
    <row r="322" spans="1:9" x14ac:dyDescent="0.25">
      <c r="A322" s="118">
        <v>53</v>
      </c>
      <c r="B322" s="45" t="s">
        <v>33</v>
      </c>
      <c r="C322" s="42"/>
      <c r="D322" s="43"/>
      <c r="E322" s="94"/>
      <c r="F322" s="95">
        <f>SUM(F271:F321)</f>
        <v>15465</v>
      </c>
      <c r="G322" s="95"/>
      <c r="H322" s="95">
        <f>SUM(H271:H321)</f>
        <v>17176.12</v>
      </c>
      <c r="I322" s="96">
        <f>F322+H322</f>
        <v>32641.119999999999</v>
      </c>
    </row>
    <row r="323" spans="1:9" x14ac:dyDescent="0.25">
      <c r="A323" s="118">
        <v>54</v>
      </c>
      <c r="B323" s="45" t="s">
        <v>227</v>
      </c>
      <c r="C323" s="48" t="s">
        <v>34</v>
      </c>
      <c r="D323" s="46">
        <v>5</v>
      </c>
      <c r="E323" s="95"/>
      <c r="F323" s="95">
        <f>D323/100*F322</f>
        <v>773.25</v>
      </c>
      <c r="G323" s="95"/>
      <c r="H323" s="95"/>
      <c r="I323" s="96"/>
    </row>
    <row r="324" spans="1:9" ht="25.5" x14ac:dyDescent="0.25">
      <c r="A324" s="118">
        <v>55</v>
      </c>
      <c r="B324" s="45" t="s">
        <v>75</v>
      </c>
      <c r="C324" s="48" t="s">
        <v>34</v>
      </c>
      <c r="D324" s="46">
        <v>5</v>
      </c>
      <c r="E324" s="95"/>
      <c r="F324" s="95"/>
      <c r="G324" s="95"/>
      <c r="H324" s="95">
        <f>D324/100*H322</f>
        <v>858.80600000000004</v>
      </c>
      <c r="I324" s="96"/>
    </row>
    <row r="325" spans="1:9" ht="25.5" x14ac:dyDescent="0.25">
      <c r="A325" s="127">
        <v>56</v>
      </c>
      <c r="B325" s="45" t="s">
        <v>67</v>
      </c>
      <c r="C325" s="48" t="s">
        <v>34</v>
      </c>
      <c r="D325" s="46">
        <v>10</v>
      </c>
      <c r="E325" s="95"/>
      <c r="F325" s="95">
        <f>F322/100*D325</f>
        <v>1546.5</v>
      </c>
      <c r="G325" s="95"/>
      <c r="H325" s="95">
        <f>H322/100*D325</f>
        <v>1717.6120000000001</v>
      </c>
      <c r="I325" s="96"/>
    </row>
    <row r="326" spans="1:9" x14ac:dyDescent="0.25">
      <c r="A326" s="118">
        <v>57</v>
      </c>
      <c r="B326" s="45" t="s">
        <v>35</v>
      </c>
      <c r="C326" s="97"/>
      <c r="D326" s="97"/>
      <c r="E326" s="95"/>
      <c r="F326" s="95">
        <f>SUM(F322:F325)</f>
        <v>17784.75</v>
      </c>
      <c r="G326" s="95"/>
      <c r="H326" s="95">
        <f>SUM(H322:H325)</f>
        <v>19752.538</v>
      </c>
      <c r="I326" s="96">
        <f>F326+H326</f>
        <v>37537.288</v>
      </c>
    </row>
    <row r="327" spans="1:9" x14ac:dyDescent="0.25">
      <c r="A327" s="118"/>
      <c r="B327" s="45" t="s">
        <v>230</v>
      </c>
      <c r="C327" s="97" t="s">
        <v>34</v>
      </c>
      <c r="D327" s="97">
        <v>5</v>
      </c>
      <c r="E327" s="95"/>
      <c r="F327" s="95"/>
      <c r="G327" s="95"/>
      <c r="H327" s="95"/>
      <c r="I327" s="96">
        <f>I326*0.95</f>
        <v>35660.423600000002</v>
      </c>
    </row>
    <row r="328" spans="1:9" x14ac:dyDescent="0.25">
      <c r="A328" s="118"/>
      <c r="B328" s="45"/>
      <c r="C328" s="97"/>
      <c r="D328" s="97"/>
      <c r="E328" s="95"/>
      <c r="F328" s="95"/>
      <c r="G328" s="95"/>
      <c r="H328" s="95" t="s">
        <v>231</v>
      </c>
      <c r="I328" s="195">
        <f>I327</f>
        <v>35660.423600000002</v>
      </c>
    </row>
    <row r="329" spans="1:9" x14ac:dyDescent="0.25">
      <c r="A329" s="118"/>
      <c r="B329" s="45"/>
      <c r="C329" s="97"/>
      <c r="D329" s="97"/>
      <c r="E329" s="95"/>
      <c r="F329" s="95"/>
      <c r="G329" s="95"/>
      <c r="H329" s="95"/>
      <c r="I329" s="96"/>
    </row>
    <row r="330" spans="1:9" x14ac:dyDescent="0.25">
      <c r="A330" s="213"/>
      <c r="B330" s="214"/>
      <c r="C330" s="215"/>
      <c r="D330" s="215"/>
      <c r="E330" s="216"/>
      <c r="F330" s="216"/>
      <c r="G330" s="216"/>
      <c r="H330" s="216"/>
      <c r="I330" s="217"/>
    </row>
    <row r="331" spans="1:9" x14ac:dyDescent="0.25">
      <c r="A331" s="213"/>
      <c r="B331" s="214"/>
      <c r="C331" s="215"/>
      <c r="D331" s="215"/>
      <c r="E331" s="216"/>
      <c r="F331" s="216"/>
      <c r="G331" s="216"/>
      <c r="H331" s="216"/>
      <c r="I331" s="217"/>
    </row>
    <row r="332" spans="1:9" ht="15.75" x14ac:dyDescent="0.25">
      <c r="A332" s="53"/>
      <c r="B332" s="30" t="s">
        <v>8</v>
      </c>
      <c r="C332" s="18"/>
      <c r="D332" s="7"/>
      <c r="E332"/>
      <c r="F332" s="218" t="s">
        <v>9</v>
      </c>
      <c r="G332"/>
      <c r="H332"/>
      <c r="I332" s="176"/>
    </row>
    <row r="333" spans="1:9" ht="13.5" thickBot="1" x14ac:dyDescent="0.25">
      <c r="A333" s="53"/>
      <c r="B333" s="31"/>
      <c r="C333" s="18"/>
      <c r="D333" s="14"/>
      <c r="E333" s="211"/>
      <c r="F333" s="38"/>
      <c r="G333" s="38"/>
      <c r="H333" s="38"/>
      <c r="I333" s="177"/>
    </row>
    <row r="334" spans="1:9" x14ac:dyDescent="0.25">
      <c r="A334" s="213"/>
      <c r="B334" s="214"/>
      <c r="C334" s="215"/>
      <c r="D334" s="215"/>
      <c r="E334" s="216"/>
      <c r="F334" s="216"/>
      <c r="G334" s="216"/>
      <c r="H334" s="216"/>
      <c r="I334" s="217"/>
    </row>
    <row r="335" spans="1:9" x14ac:dyDescent="0.25">
      <c r="A335" s="213"/>
      <c r="B335" s="214"/>
      <c r="C335" s="215"/>
      <c r="D335" s="215"/>
      <c r="E335" s="216"/>
      <c r="F335" s="216"/>
      <c r="G335" s="216"/>
      <c r="H335" s="216"/>
      <c r="I335" s="217"/>
    </row>
    <row r="336" spans="1:9" x14ac:dyDescent="0.25">
      <c r="A336" s="213"/>
      <c r="B336" s="214"/>
      <c r="C336" s="215"/>
      <c r="D336" s="215"/>
      <c r="E336" s="216"/>
      <c r="F336" s="216"/>
      <c r="G336" s="216"/>
      <c r="H336" s="216"/>
      <c r="I336" s="217"/>
    </row>
    <row r="337" spans="1:9" x14ac:dyDescent="0.25">
      <c r="A337" s="213"/>
      <c r="B337" s="214"/>
      <c r="C337" s="215"/>
      <c r="D337" s="215"/>
      <c r="E337" s="216"/>
      <c r="F337" s="216"/>
      <c r="G337" s="216"/>
      <c r="H337" s="216"/>
      <c r="I337" s="217"/>
    </row>
    <row r="338" spans="1:9" x14ac:dyDescent="0.25">
      <c r="A338" s="213"/>
      <c r="B338" s="214"/>
      <c r="C338" s="215"/>
      <c r="D338" s="215"/>
      <c r="E338" s="216"/>
      <c r="F338" s="216"/>
      <c r="G338" s="216"/>
      <c r="H338" s="216"/>
      <c r="I338" s="217"/>
    </row>
    <row r="339" spans="1:9" x14ac:dyDescent="0.25">
      <c r="A339" s="213"/>
      <c r="B339" s="214"/>
      <c r="C339" s="215"/>
      <c r="D339" s="215"/>
      <c r="E339" s="216"/>
      <c r="F339" s="216"/>
      <c r="G339" s="216"/>
      <c r="H339" s="216"/>
      <c r="I339" s="217"/>
    </row>
    <row r="340" spans="1:9" x14ac:dyDescent="0.25">
      <c r="A340" s="213"/>
      <c r="B340" s="214"/>
      <c r="C340" s="215"/>
      <c r="D340" s="215"/>
      <c r="E340" s="216"/>
      <c r="F340" s="216"/>
      <c r="G340" s="216"/>
      <c r="H340" s="216"/>
      <c r="I340" s="217"/>
    </row>
    <row r="341" spans="1:9" x14ac:dyDescent="0.25">
      <c r="A341" s="213"/>
      <c r="B341" s="214"/>
      <c r="C341" s="215"/>
      <c r="D341" s="215"/>
      <c r="E341" s="216"/>
      <c r="F341" s="216"/>
      <c r="G341" s="216"/>
      <c r="H341" s="216"/>
      <c r="I341" s="217"/>
    </row>
    <row r="342" spans="1:9" x14ac:dyDescent="0.25">
      <c r="A342" s="213"/>
      <c r="B342" s="214"/>
      <c r="C342" s="215"/>
      <c r="D342" s="215"/>
      <c r="E342" s="216"/>
      <c r="F342" s="216"/>
      <c r="G342" s="216"/>
      <c r="H342" s="216"/>
      <c r="I342" s="217"/>
    </row>
    <row r="343" spans="1:9" x14ac:dyDescent="0.2">
      <c r="A343" s="54"/>
      <c r="B343" s="28"/>
      <c r="C343" s="13"/>
      <c r="D343" s="14"/>
      <c r="E343" s="179"/>
      <c r="F343" s="179"/>
      <c r="G343" s="179"/>
      <c r="H343" s="179"/>
      <c r="I343" s="175"/>
    </row>
    <row r="344" spans="1:9" x14ac:dyDescent="0.2">
      <c r="A344" s="54"/>
      <c r="B344" s="276"/>
      <c r="C344" s="276"/>
      <c r="D344" s="276"/>
      <c r="E344" s="276"/>
      <c r="F344" s="276"/>
      <c r="G344" s="276"/>
      <c r="H344" s="276"/>
      <c r="I344" s="276"/>
    </row>
    <row r="346" spans="1:9" x14ac:dyDescent="0.25">
      <c r="G346" s="7"/>
      <c r="H346" s="196" t="s">
        <v>270</v>
      </c>
      <c r="I346" s="12">
        <f>I154</f>
        <v>76549.561038860003</v>
      </c>
    </row>
    <row r="347" spans="1:9" x14ac:dyDescent="0.25">
      <c r="H347" s="196" t="s">
        <v>271</v>
      </c>
      <c r="I347" s="12">
        <f>I250</f>
        <v>130648.73999999999</v>
      </c>
    </row>
    <row r="348" spans="1:9" x14ac:dyDescent="0.25">
      <c r="H348" s="196" t="s">
        <v>78</v>
      </c>
      <c r="I348" s="12">
        <f>I328</f>
        <v>35660.423600000002</v>
      </c>
    </row>
    <row r="349" spans="1:9" x14ac:dyDescent="0.25">
      <c r="H349" s="199" t="s">
        <v>269</v>
      </c>
      <c r="I349" s="12">
        <f>SUM(I346:I348)</f>
        <v>242858.72463886</v>
      </c>
    </row>
    <row r="350" spans="1:9" x14ac:dyDescent="0.25">
      <c r="H350" s="198"/>
      <c r="I350" s="197"/>
    </row>
    <row r="351" spans="1:9" x14ac:dyDescent="0.2">
      <c r="A351" s="53"/>
      <c r="B351" s="210"/>
      <c r="C351" s="18"/>
      <c r="D351" s="14"/>
      <c r="E351" s="211"/>
      <c r="F351" s="211"/>
      <c r="G351" s="211"/>
      <c r="H351" s="211"/>
      <c r="I351" s="212"/>
    </row>
    <row r="352" spans="1:9" x14ac:dyDescent="0.2">
      <c r="A352" s="53"/>
      <c r="B352" s="210"/>
      <c r="C352" s="18"/>
      <c r="D352" s="14"/>
      <c r="E352" s="211"/>
      <c r="F352" s="211"/>
      <c r="G352" s="211"/>
      <c r="H352" s="211" t="s">
        <v>327</v>
      </c>
      <c r="I352" s="212"/>
    </row>
    <row r="353" spans="1:9" ht="90" customHeight="1" x14ac:dyDescent="0.25">
      <c r="B353" s="274"/>
      <c r="C353" s="274"/>
      <c r="D353" s="274"/>
    </row>
    <row r="354" spans="1:9" ht="26.25" customHeight="1" x14ac:dyDescent="0.25">
      <c r="A354" s="164"/>
      <c r="B354" s="275" t="s">
        <v>171</v>
      </c>
      <c r="C354" s="275"/>
      <c r="D354" s="275"/>
    </row>
    <row r="355" spans="1:9" ht="15" x14ac:dyDescent="0.25">
      <c r="A355" s="164"/>
      <c r="B355" s="219"/>
      <c r="C355" s="219"/>
      <c r="D355" s="219"/>
    </row>
    <row r="356" spans="1:9" x14ac:dyDescent="0.25">
      <c r="B356" s="60" t="s">
        <v>39</v>
      </c>
      <c r="G356" s="61" t="s">
        <v>40</v>
      </c>
    </row>
    <row r="357" spans="1:9" x14ac:dyDescent="0.25">
      <c r="B357" s="57"/>
      <c r="G357" s="58"/>
      <c r="H357" s="58"/>
      <c r="I357" s="59"/>
    </row>
    <row r="358" spans="1:9" x14ac:dyDescent="0.25">
      <c r="B358" s="68"/>
      <c r="G358" s="69"/>
      <c r="H358" s="69"/>
      <c r="I358" s="70"/>
    </row>
    <row r="359" spans="1:9" x14ac:dyDescent="0.2">
      <c r="A359" s="53"/>
      <c r="B359" s="210"/>
      <c r="C359" s="18"/>
      <c r="D359" s="14"/>
      <c r="E359" s="211"/>
      <c r="F359" s="211"/>
      <c r="G359" s="211"/>
      <c r="H359" s="211"/>
      <c r="I359" s="212"/>
    </row>
    <row r="360" spans="1:9" ht="20.25" x14ac:dyDescent="0.25">
      <c r="A360" s="273" t="s">
        <v>38</v>
      </c>
      <c r="B360" s="273"/>
      <c r="C360" s="273"/>
      <c r="D360" s="273"/>
      <c r="E360" s="273"/>
      <c r="F360" s="273"/>
      <c r="G360" s="273"/>
      <c r="H360" s="273"/>
      <c r="I360" s="273"/>
    </row>
    <row r="361" spans="1:9" ht="15.75" x14ac:dyDescent="0.25">
      <c r="A361" s="272" t="s">
        <v>330</v>
      </c>
      <c r="B361" s="272"/>
      <c r="C361" s="272"/>
      <c r="D361" s="272"/>
      <c r="E361" s="272"/>
      <c r="F361" s="272"/>
      <c r="G361" s="272"/>
      <c r="H361" s="272"/>
      <c r="I361" s="272"/>
    </row>
    <row r="362" spans="1:9" x14ac:dyDescent="0.2">
      <c r="A362" s="220" t="s">
        <v>325</v>
      </c>
      <c r="B362" s="220"/>
      <c r="C362" s="220"/>
      <c r="D362" s="220"/>
      <c r="E362" s="220"/>
      <c r="F362" s="220"/>
      <c r="G362" s="221">
        <f>I386</f>
        <v>22578.8125</v>
      </c>
      <c r="H362" s="222" t="s">
        <v>326</v>
      </c>
      <c r="I362" s="223"/>
    </row>
    <row r="363" spans="1:9" ht="60" x14ac:dyDescent="0.25">
      <c r="A363" s="83" t="s">
        <v>0</v>
      </c>
      <c r="B363" s="84" t="s">
        <v>1</v>
      </c>
      <c r="C363" s="85" t="s">
        <v>10</v>
      </c>
      <c r="D363" s="85" t="s">
        <v>2</v>
      </c>
      <c r="E363" s="84" t="s">
        <v>13</v>
      </c>
      <c r="F363" s="84" t="s">
        <v>14</v>
      </c>
      <c r="G363" s="84" t="s">
        <v>15</v>
      </c>
      <c r="H363" s="84" t="s">
        <v>16</v>
      </c>
      <c r="I363" s="86" t="s">
        <v>17</v>
      </c>
    </row>
    <row r="364" spans="1:9" ht="15" x14ac:dyDescent="0.25">
      <c r="A364" s="127">
        <v>1</v>
      </c>
      <c r="B364" s="87" t="s">
        <v>331</v>
      </c>
      <c r="C364" s="127"/>
      <c r="D364" s="127"/>
      <c r="E364" s="128"/>
      <c r="F364" s="128"/>
      <c r="G364" s="127"/>
      <c r="H364" s="127"/>
      <c r="I364" s="194"/>
    </row>
    <row r="365" spans="1:9" x14ac:dyDescent="0.25">
      <c r="A365" s="118">
        <v>2</v>
      </c>
      <c r="B365" s="45" t="s">
        <v>340</v>
      </c>
      <c r="C365" s="48" t="s">
        <v>198</v>
      </c>
      <c r="D365" s="46">
        <v>15</v>
      </c>
      <c r="E365" s="89">
        <v>95</v>
      </c>
      <c r="F365" s="89">
        <f>D365*E365</f>
        <v>1425</v>
      </c>
      <c r="G365" s="89"/>
      <c r="H365" s="89"/>
      <c r="I365" s="90">
        <f>F365</f>
        <v>1425</v>
      </c>
    </row>
    <row r="366" spans="1:9" x14ac:dyDescent="0.25">
      <c r="A366" s="118">
        <v>3</v>
      </c>
      <c r="B366" s="41" t="s">
        <v>332</v>
      </c>
      <c r="C366" s="42" t="s">
        <v>198</v>
      </c>
      <c r="D366" s="73">
        <v>15</v>
      </c>
      <c r="E366" s="73"/>
      <c r="F366" s="73"/>
      <c r="G366" s="73">
        <v>20</v>
      </c>
      <c r="H366" s="73">
        <f>D366*G366</f>
        <v>300</v>
      </c>
      <c r="I366" s="82">
        <f>H366</f>
        <v>300</v>
      </c>
    </row>
    <row r="367" spans="1:9" x14ac:dyDescent="0.25">
      <c r="A367" s="127">
        <v>4</v>
      </c>
      <c r="B367" s="41" t="s">
        <v>333</v>
      </c>
      <c r="C367" s="42" t="s">
        <v>44</v>
      </c>
      <c r="D367" s="73">
        <v>30</v>
      </c>
      <c r="E367" s="73"/>
      <c r="F367" s="73"/>
      <c r="G367" s="73">
        <v>10</v>
      </c>
      <c r="H367" s="73">
        <f>D367*G367</f>
        <v>300</v>
      </c>
      <c r="I367" s="82">
        <f>H367</f>
        <v>300</v>
      </c>
    </row>
    <row r="368" spans="1:9" s="44" customFormat="1" ht="29.25" customHeight="1" x14ac:dyDescent="0.25">
      <c r="A368" s="127">
        <v>5</v>
      </c>
      <c r="B368" s="41" t="s">
        <v>45</v>
      </c>
      <c r="C368" s="10" t="s">
        <v>18</v>
      </c>
      <c r="D368" s="43">
        <v>15</v>
      </c>
      <c r="E368" s="73"/>
      <c r="F368" s="25"/>
      <c r="G368" s="73">
        <v>18</v>
      </c>
      <c r="H368" s="25">
        <f>D368*G368</f>
        <v>270</v>
      </c>
      <c r="I368" s="88">
        <f>H368</f>
        <v>270</v>
      </c>
    </row>
    <row r="369" spans="1:9" s="9" customFormat="1" x14ac:dyDescent="0.25">
      <c r="A369" s="127">
        <v>6</v>
      </c>
      <c r="B369" s="45" t="s">
        <v>334</v>
      </c>
      <c r="C369" s="48" t="s">
        <v>198</v>
      </c>
      <c r="D369" s="46">
        <v>10</v>
      </c>
      <c r="E369" s="89">
        <v>95</v>
      </c>
      <c r="F369" s="89">
        <f>D369*E369</f>
        <v>950</v>
      </c>
      <c r="G369" s="89"/>
      <c r="H369" s="89"/>
      <c r="I369" s="90">
        <f>F369</f>
        <v>950</v>
      </c>
    </row>
    <row r="370" spans="1:9" ht="25.5" x14ac:dyDescent="0.25">
      <c r="A370" s="118">
        <v>7</v>
      </c>
      <c r="B370" s="41" t="s">
        <v>335</v>
      </c>
      <c r="C370" s="42" t="s">
        <v>198</v>
      </c>
      <c r="D370" s="73">
        <v>10</v>
      </c>
      <c r="E370" s="73"/>
      <c r="F370" s="73"/>
      <c r="G370" s="73">
        <v>26</v>
      </c>
      <c r="H370" s="73">
        <f>D370*G370</f>
        <v>260</v>
      </c>
      <c r="I370" s="82">
        <f>H370</f>
        <v>260</v>
      </c>
    </row>
    <row r="371" spans="1:9" x14ac:dyDescent="0.25">
      <c r="A371" s="118">
        <v>8</v>
      </c>
      <c r="B371" s="41" t="s">
        <v>333</v>
      </c>
      <c r="C371" s="42" t="s">
        <v>44</v>
      </c>
      <c r="D371" s="73">
        <v>20</v>
      </c>
      <c r="E371" s="73"/>
      <c r="F371" s="73"/>
      <c r="G371" s="73">
        <v>10</v>
      </c>
      <c r="H371" s="73">
        <f>D371*G371</f>
        <v>200</v>
      </c>
      <c r="I371" s="82">
        <f>H371</f>
        <v>200</v>
      </c>
    </row>
    <row r="372" spans="1:9" s="44" customFormat="1" ht="29.25" customHeight="1" x14ac:dyDescent="0.25">
      <c r="A372" s="127">
        <v>9</v>
      </c>
      <c r="B372" s="41" t="s">
        <v>45</v>
      </c>
      <c r="C372" s="10" t="s">
        <v>18</v>
      </c>
      <c r="D372" s="43">
        <v>10</v>
      </c>
      <c r="E372" s="73"/>
      <c r="F372" s="25"/>
      <c r="G372" s="73">
        <v>18</v>
      </c>
      <c r="H372" s="25">
        <f>D372*G372</f>
        <v>180</v>
      </c>
      <c r="I372" s="88">
        <f>H372</f>
        <v>180</v>
      </c>
    </row>
    <row r="373" spans="1:9" s="9" customFormat="1" x14ac:dyDescent="0.25">
      <c r="A373" s="127">
        <v>10</v>
      </c>
      <c r="B373" s="45" t="s">
        <v>341</v>
      </c>
      <c r="C373" s="48" t="s">
        <v>44</v>
      </c>
      <c r="D373" s="46">
        <v>1</v>
      </c>
      <c r="E373" s="89">
        <v>1200</v>
      </c>
      <c r="F373" s="89">
        <f>D373*E373</f>
        <v>1200</v>
      </c>
      <c r="G373" s="89"/>
      <c r="H373" s="89"/>
      <c r="I373" s="90">
        <f>F373</f>
        <v>1200</v>
      </c>
    </row>
    <row r="374" spans="1:9" s="44" customFormat="1" x14ac:dyDescent="0.25">
      <c r="A374" s="127">
        <v>11</v>
      </c>
      <c r="B374" s="41" t="s">
        <v>342</v>
      </c>
      <c r="C374" s="10" t="s">
        <v>44</v>
      </c>
      <c r="D374" s="43">
        <v>1</v>
      </c>
      <c r="E374" s="73"/>
      <c r="F374" s="25"/>
      <c r="G374" s="73">
        <v>1300</v>
      </c>
      <c r="H374" s="25">
        <f>D374*G374</f>
        <v>1300</v>
      </c>
      <c r="I374" s="88">
        <f>H374</f>
        <v>1300</v>
      </c>
    </row>
    <row r="375" spans="1:9" s="44" customFormat="1" x14ac:dyDescent="0.25">
      <c r="A375" s="118">
        <v>12</v>
      </c>
      <c r="B375" s="41" t="s">
        <v>343</v>
      </c>
      <c r="C375" s="10" t="s">
        <v>137</v>
      </c>
      <c r="D375" s="43">
        <v>1</v>
      </c>
      <c r="E375" s="73"/>
      <c r="F375" s="25"/>
      <c r="G375" s="73">
        <v>650</v>
      </c>
      <c r="H375" s="25">
        <f>D375*G375</f>
        <v>650</v>
      </c>
      <c r="I375" s="88">
        <f>H375</f>
        <v>650</v>
      </c>
    </row>
    <row r="376" spans="1:9" s="9" customFormat="1" ht="25.5" x14ac:dyDescent="0.25">
      <c r="A376" s="118">
        <v>13</v>
      </c>
      <c r="B376" s="45" t="s">
        <v>336</v>
      </c>
      <c r="C376" s="48" t="s">
        <v>44</v>
      </c>
      <c r="D376" s="46">
        <v>1</v>
      </c>
      <c r="E376" s="89">
        <v>6000</v>
      </c>
      <c r="F376" s="89">
        <f>D376*E376</f>
        <v>6000</v>
      </c>
      <c r="G376" s="89"/>
      <c r="H376" s="89"/>
      <c r="I376" s="90">
        <f>F376</f>
        <v>6000</v>
      </c>
    </row>
    <row r="377" spans="1:9" x14ac:dyDescent="0.25">
      <c r="A377" s="127">
        <v>14</v>
      </c>
      <c r="B377" s="41" t="s">
        <v>337</v>
      </c>
      <c r="C377" s="42" t="s">
        <v>44</v>
      </c>
      <c r="D377" s="43">
        <v>1</v>
      </c>
      <c r="E377" s="73"/>
      <c r="F377" s="73"/>
      <c r="G377" s="73">
        <v>3500</v>
      </c>
      <c r="H377" s="73">
        <f>D377*G377</f>
        <v>3500</v>
      </c>
      <c r="I377" s="82">
        <f>H377</f>
        <v>3500</v>
      </c>
    </row>
    <row r="378" spans="1:9" x14ac:dyDescent="0.25">
      <c r="A378" s="127">
        <v>15</v>
      </c>
      <c r="B378" s="225" t="s">
        <v>338</v>
      </c>
      <c r="C378" s="42" t="s">
        <v>198</v>
      </c>
      <c r="D378" s="43">
        <v>15</v>
      </c>
      <c r="E378" s="73"/>
      <c r="F378" s="73"/>
      <c r="G378" s="73">
        <v>29</v>
      </c>
      <c r="H378" s="73">
        <f>D378*G378</f>
        <v>435</v>
      </c>
      <c r="I378" s="82">
        <f>H378</f>
        <v>435</v>
      </c>
    </row>
    <row r="379" spans="1:9" s="44" customFormat="1" x14ac:dyDescent="0.25">
      <c r="A379" s="127">
        <v>16</v>
      </c>
      <c r="B379" s="41" t="s">
        <v>339</v>
      </c>
      <c r="C379" s="42" t="s">
        <v>44</v>
      </c>
      <c r="D379" s="43">
        <v>30</v>
      </c>
      <c r="E379" s="73"/>
      <c r="F379" s="73"/>
      <c r="G379" s="73">
        <v>9</v>
      </c>
      <c r="H379" s="73">
        <f>D379*G379</f>
        <v>270</v>
      </c>
      <c r="I379" s="82">
        <f>H379</f>
        <v>270</v>
      </c>
    </row>
    <row r="380" spans="1:9" x14ac:dyDescent="0.2">
      <c r="A380" s="118">
        <v>17</v>
      </c>
      <c r="B380" s="52"/>
      <c r="C380" s="27"/>
      <c r="D380" s="25"/>
      <c r="E380" s="25"/>
      <c r="F380" s="25"/>
      <c r="G380" s="25"/>
      <c r="H380" s="25"/>
      <c r="I380" s="174"/>
    </row>
    <row r="381" spans="1:9" x14ac:dyDescent="0.25">
      <c r="A381" s="118">
        <v>18</v>
      </c>
      <c r="B381" s="45" t="s">
        <v>314</v>
      </c>
      <c r="C381" s="42"/>
      <c r="D381" s="43">
        <v>1.25</v>
      </c>
      <c r="E381" s="73"/>
      <c r="F381" s="73"/>
      <c r="G381" s="73"/>
      <c r="H381" s="73"/>
      <c r="I381" s="82"/>
    </row>
    <row r="382" spans="1:9" x14ac:dyDescent="0.25">
      <c r="A382" s="127">
        <v>19</v>
      </c>
      <c r="B382" s="45" t="s">
        <v>33</v>
      </c>
      <c r="C382" s="42"/>
      <c r="D382" s="43"/>
      <c r="E382" s="94"/>
      <c r="F382" s="95">
        <f>SUM(F364:F380)*D381</f>
        <v>11968.75</v>
      </c>
      <c r="G382" s="95"/>
      <c r="H382" s="95">
        <f>SUM(H364:H381)</f>
        <v>7665</v>
      </c>
      <c r="I382" s="96">
        <f>F382+H382</f>
        <v>19633.75</v>
      </c>
    </row>
    <row r="383" spans="1:9" x14ac:dyDescent="0.25">
      <c r="A383" s="127">
        <v>20</v>
      </c>
      <c r="B383" s="45" t="s">
        <v>227</v>
      </c>
      <c r="C383" s="48" t="s">
        <v>34</v>
      </c>
      <c r="D383" s="46">
        <v>5</v>
      </c>
      <c r="E383" s="95"/>
      <c r="F383" s="95">
        <f>D383/100*F382</f>
        <v>598.4375</v>
      </c>
      <c r="G383" s="95"/>
      <c r="H383" s="95"/>
      <c r="I383" s="96"/>
    </row>
    <row r="384" spans="1:9" ht="25.5" x14ac:dyDescent="0.25">
      <c r="A384" s="127">
        <v>21</v>
      </c>
      <c r="B384" s="45" t="s">
        <v>75</v>
      </c>
      <c r="C384" s="48" t="s">
        <v>34</v>
      </c>
      <c r="D384" s="46">
        <v>5</v>
      </c>
      <c r="E384" s="95"/>
      <c r="F384" s="95"/>
      <c r="G384" s="95"/>
      <c r="H384" s="95">
        <f>D384/100*H382</f>
        <v>383.25</v>
      </c>
      <c r="I384" s="96"/>
    </row>
    <row r="385" spans="1:9" ht="25.5" x14ac:dyDescent="0.25">
      <c r="A385" s="118">
        <v>22</v>
      </c>
      <c r="B385" s="45" t="s">
        <v>67</v>
      </c>
      <c r="C385" s="48" t="s">
        <v>34</v>
      </c>
      <c r="D385" s="46">
        <v>10</v>
      </c>
      <c r="E385" s="95"/>
      <c r="F385" s="95">
        <f>F382/100*D385</f>
        <v>1196.875</v>
      </c>
      <c r="G385" s="95"/>
      <c r="H385" s="95">
        <f>H382/100*D385</f>
        <v>766.5</v>
      </c>
      <c r="I385" s="96"/>
    </row>
    <row r="386" spans="1:9" x14ac:dyDescent="0.25">
      <c r="A386" s="118">
        <v>23</v>
      </c>
      <c r="B386" s="45" t="s">
        <v>35</v>
      </c>
      <c r="C386" s="97"/>
      <c r="D386" s="97"/>
      <c r="E386" s="95"/>
      <c r="F386" s="95">
        <f>SUM(F382:F385)</f>
        <v>13764.0625</v>
      </c>
      <c r="G386" s="95"/>
      <c r="H386" s="95">
        <f>SUM(H382:H385)</f>
        <v>8814.75</v>
      </c>
      <c r="I386" s="96">
        <f>F386+H386</f>
        <v>22578.8125</v>
      </c>
    </row>
    <row r="387" spans="1:9" hidden="1" x14ac:dyDescent="0.25">
      <c r="A387" s="127"/>
      <c r="B387" s="45"/>
      <c r="C387" s="97"/>
      <c r="D387" s="97"/>
      <c r="E387" s="95"/>
      <c r="F387" s="95"/>
      <c r="G387" s="95"/>
      <c r="H387" s="95"/>
      <c r="I387" s="96"/>
    </row>
    <row r="388" spans="1:9" hidden="1" x14ac:dyDescent="0.25">
      <c r="A388" s="127"/>
      <c r="B388" s="45"/>
      <c r="C388" s="97"/>
      <c r="D388" s="97"/>
      <c r="E388" s="95"/>
      <c r="F388" s="95"/>
      <c r="G388" s="95"/>
      <c r="H388" s="95"/>
      <c r="I388" s="195"/>
    </row>
    <row r="389" spans="1:9" hidden="1" x14ac:dyDescent="0.25">
      <c r="A389" s="118"/>
      <c r="B389" s="45"/>
      <c r="C389" s="97"/>
      <c r="D389" s="97"/>
      <c r="E389" s="95"/>
      <c r="F389" s="95"/>
      <c r="G389" s="95"/>
      <c r="H389" s="95"/>
      <c r="I389" s="96"/>
    </row>
    <row r="390" spans="1:9" x14ac:dyDescent="0.25">
      <c r="A390" s="213"/>
      <c r="B390" s="214"/>
      <c r="C390" s="215"/>
      <c r="D390" s="215"/>
      <c r="E390" s="216"/>
      <c r="F390" s="216"/>
      <c r="G390" s="216"/>
      <c r="H390" s="216"/>
      <c r="I390" s="217"/>
    </row>
    <row r="391" spans="1:9" x14ac:dyDescent="0.25">
      <c r="A391" s="213"/>
      <c r="B391" s="214"/>
      <c r="C391" s="215"/>
      <c r="D391" s="215"/>
      <c r="E391" s="216"/>
      <c r="F391" s="216"/>
      <c r="G391" s="216"/>
      <c r="H391" s="216"/>
      <c r="I391" s="217"/>
    </row>
    <row r="392" spans="1:9" ht="15.75" x14ac:dyDescent="0.25">
      <c r="A392" s="53"/>
      <c r="B392" s="30" t="s">
        <v>8</v>
      </c>
      <c r="C392" s="18"/>
      <c r="D392" s="7"/>
      <c r="E392"/>
      <c r="F392" s="218" t="s">
        <v>9</v>
      </c>
      <c r="G392"/>
      <c r="H392"/>
      <c r="I392" s="176"/>
    </row>
    <row r="393" spans="1:9" ht="13.5" thickBot="1" x14ac:dyDescent="0.25">
      <c r="A393" s="53"/>
      <c r="B393" s="31"/>
      <c r="C393" s="18"/>
      <c r="D393" s="14"/>
      <c r="E393" s="211"/>
      <c r="F393" s="38"/>
      <c r="G393" s="38"/>
      <c r="H393" s="38"/>
      <c r="I393" s="177"/>
    </row>
    <row r="394" spans="1:9" x14ac:dyDescent="0.25">
      <c r="A394" s="213"/>
      <c r="B394" s="214"/>
      <c r="C394" s="215"/>
      <c r="D394" s="215"/>
      <c r="E394" s="216"/>
      <c r="F394" s="216"/>
      <c r="G394" s="216"/>
      <c r="H394" s="216"/>
      <c r="I394" s="217"/>
    </row>
    <row r="395" spans="1:9" x14ac:dyDescent="0.25">
      <c r="A395" s="213"/>
      <c r="B395" s="214"/>
      <c r="C395" s="215"/>
      <c r="D395" s="215"/>
      <c r="E395" s="216"/>
      <c r="F395" s="216"/>
      <c r="G395" s="216"/>
      <c r="H395" s="216"/>
      <c r="I395" s="217"/>
    </row>
  </sheetData>
  <mergeCells count="16">
    <mergeCell ref="B251:I251"/>
    <mergeCell ref="A267:I267"/>
    <mergeCell ref="A268:I268"/>
    <mergeCell ref="B344:I344"/>
    <mergeCell ref="B2:D2"/>
    <mergeCell ref="B3:D3"/>
    <mergeCell ref="A9:I9"/>
    <mergeCell ref="A10:I10"/>
    <mergeCell ref="A174:I174"/>
    <mergeCell ref="A175:I175"/>
    <mergeCell ref="B353:D353"/>
    <mergeCell ref="B354:D354"/>
    <mergeCell ref="A360:I360"/>
    <mergeCell ref="A361:I361"/>
    <mergeCell ref="B260:D260"/>
    <mergeCell ref="B261:D261"/>
  </mergeCells>
  <pageMargins left="0.23622047244094491" right="0.23622047244094491" top="0.74803149606299213" bottom="0.35433070866141736" header="0.31496062992125984" footer="0.31496062992125984"/>
  <pageSetup paperSize="9" scale="62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Смета на черновые работы</vt:lpstr>
      <vt:lpstr>Смета-шаблон 2</vt:lpstr>
      <vt:lpstr>Лист1</vt:lpstr>
      <vt:lpstr>Электрика</vt:lpstr>
      <vt:lpstr>Лист2</vt:lpstr>
      <vt:lpstr>Отделочные работы</vt:lpstr>
      <vt:lpstr>'Отделочные работы'!Область_печати</vt:lpstr>
      <vt:lpstr>'Смета на черновые работы'!Область_печати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2020-05-31T17:54:52Z</dcterms:modified>
</cp:coreProperties>
</file>